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rsaniv\Desktop\RRIDP S1R2\DA\"/>
    </mc:Choice>
  </mc:AlternateContent>
  <xr:revisionPtr revIDLastSave="0" documentId="8_{905D2B5F-DA81-4F1E-A9E8-5703532D5F13}" xr6:coauthVersionLast="41" xr6:coauthVersionMax="41" xr10:uidLastSave="{00000000-0000-0000-0000-000000000000}"/>
  <bookViews>
    <workbookView xWindow="28680" yWindow="-120" windowWidth="29040" windowHeight="15840" tabRatio="695" activeTab="2" xr2:uid="{00000000-000D-0000-FFFF-FFFF00000000}"/>
  </bookViews>
  <sheets>
    <sheet name="Project Details" sheetId="6" r:id="rId1"/>
    <sheet name="Material Flows" sheetId="5" r:id="rId2"/>
    <sheet name="Capital Cost Breakdown" sheetId="7" r:id="rId3"/>
    <sheet name="New Employment " sheetId="10" r:id="rId4"/>
    <sheet name="Financial Inputs" sheetId="1" r:id="rId5"/>
    <sheet name="Results" sheetId="2" state="veryHidden" r:id="rId6"/>
    <sheet name="Analysis" sheetId="4" state="veryHidden" r:id="rId7"/>
    <sheet name="Unit Analysis" sheetId="8" state="veryHidden" r:id="rId8"/>
    <sheet name="Graphs" sheetId="9" state="veryHidden" r:id="rId9"/>
  </sheets>
  <definedNames>
    <definedName name="analysis_period">'Project Details'!$D$16</definedName>
    <definedName name="analysis_start" localSheetId="2">#REF!</definedName>
    <definedName name="analysis_start" localSheetId="0">#REF!</definedName>
    <definedName name="analysis_start">#REF!</definedName>
    <definedName name="Asset_life">'Project Details'!$D$17</definedName>
    <definedName name="Construction_startdate">'Project Details'!$D$9</definedName>
    <definedName name="discountrate">'Project Details'!$D$13</definedName>
    <definedName name="discountrate_high">'Project Details'!$D$15</definedName>
    <definedName name="discountrate_low">'Project Details'!$D$14</definedName>
    <definedName name="Inflation_rate">'Project Details'!$D$18</definedName>
    <definedName name="Operations_startdate">'Project Details'!$D$10</definedName>
    <definedName name="_xlnm.Print_Area" localSheetId="6">Analysis!$B$3:$S$37</definedName>
    <definedName name="_xlnm.Print_Area" localSheetId="3">'New Employment '!$A$1:$R$61</definedName>
    <definedName name="_xlnm.Print_Area" localSheetId="5">Results!#REF!</definedName>
    <definedName name="Product_Options" localSheetId="2">#REF!</definedName>
    <definedName name="Product_Options" localSheetId="0">#REF!</definedName>
    <definedName name="Product_Options">#REF!</definedName>
    <definedName name="test_options" localSheetId="2">#REF!</definedName>
    <definedName name="test_options" localSheetId="0">#REF!</definedName>
    <definedName name="test_op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0" l="1"/>
  <c r="D51" i="10" s="1"/>
  <c r="E36" i="10"/>
  <c r="E51" i="10" s="1"/>
  <c r="F36" i="10"/>
  <c r="F51" i="10" s="1"/>
  <c r="G36" i="10"/>
  <c r="G51" i="10" s="1"/>
  <c r="H36" i="10"/>
  <c r="H51" i="10" s="1"/>
  <c r="I36" i="10"/>
  <c r="I51" i="10" s="1"/>
  <c r="J36" i="10"/>
  <c r="J51" i="10" s="1"/>
  <c r="K36" i="10"/>
  <c r="K51" i="10" s="1"/>
  <c r="L36" i="10"/>
  <c r="L51" i="10" s="1"/>
  <c r="M36" i="10"/>
  <c r="M51" i="10" s="1"/>
  <c r="N36" i="10"/>
  <c r="N51" i="10" s="1"/>
  <c r="O36" i="10"/>
  <c r="O51" i="10" s="1"/>
  <c r="P36" i="10"/>
  <c r="P51" i="10" s="1"/>
  <c r="Q36" i="10"/>
  <c r="Q51" i="10" s="1"/>
  <c r="C36" i="10"/>
  <c r="C51" i="10" s="1"/>
  <c r="L47" i="10" l="1"/>
  <c r="K47" i="10"/>
  <c r="J47" i="10"/>
  <c r="I47" i="10"/>
  <c r="H47" i="10"/>
  <c r="Q47" i="10"/>
  <c r="P47" i="10"/>
  <c r="O47" i="10"/>
  <c r="N47" i="10"/>
  <c r="M47" i="10"/>
  <c r="G47" i="10"/>
  <c r="F47" i="10"/>
  <c r="E47" i="10"/>
  <c r="D47" i="10"/>
  <c r="C47" i="10"/>
  <c r="D17" i="10"/>
  <c r="E17" i="10"/>
  <c r="C17" i="10"/>
  <c r="S31" i="5" l="1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B25" i="8" l="1"/>
  <c r="B26" i="8"/>
  <c r="B27" i="8"/>
  <c r="F19" i="8"/>
  <c r="G19" i="8"/>
  <c r="E19" i="8"/>
  <c r="B21" i="8"/>
  <c r="B22" i="8"/>
  <c r="B23" i="8"/>
  <c r="B24" i="8"/>
  <c r="B20" i="8"/>
  <c r="A12" i="9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F17" i="4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F67" i="4"/>
  <c r="E67" i="4"/>
  <c r="D67" i="4"/>
  <c r="U12" i="1" l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0" i="4" l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Q26" i="1" l="1"/>
  <c r="R26" i="1"/>
  <c r="S26" i="1"/>
  <c r="T26" i="1"/>
  <c r="U26" i="1"/>
  <c r="U38" i="1"/>
  <c r="B39" i="4" l="1"/>
  <c r="B40" i="4"/>
  <c r="B41" i="4"/>
  <c r="B42" i="4"/>
  <c r="B43" i="4"/>
  <c r="B44" i="4"/>
  <c r="B45" i="4"/>
  <c r="B38" i="4"/>
  <c r="B5" i="4"/>
  <c r="B6" i="4"/>
  <c r="B4" i="4"/>
  <c r="B27" i="4"/>
  <c r="B28" i="4"/>
  <c r="B29" i="4"/>
  <c r="B30" i="4"/>
  <c r="B31" i="4"/>
  <c r="B32" i="4"/>
  <c r="B33" i="4"/>
  <c r="B34" i="4"/>
  <c r="B25" i="4"/>
  <c r="B26" i="4"/>
  <c r="B24" i="4"/>
  <c r="H43" i="7" l="1"/>
  <c r="H40" i="7"/>
  <c r="H39" i="7"/>
  <c r="H38" i="7"/>
  <c r="H37" i="7"/>
  <c r="H36" i="7"/>
  <c r="H35" i="7"/>
  <c r="H34" i="7"/>
  <c r="H33" i="7"/>
  <c r="H32" i="7"/>
  <c r="H31" i="7"/>
  <c r="H28" i="7"/>
  <c r="H27" i="7"/>
  <c r="H26" i="7"/>
  <c r="H25" i="7"/>
  <c r="H24" i="7"/>
  <c r="H23" i="7"/>
  <c r="H22" i="7"/>
  <c r="H21" i="7"/>
  <c r="H20" i="7"/>
  <c r="H19" i="7"/>
  <c r="H8" i="7"/>
  <c r="H9" i="7"/>
  <c r="H10" i="7"/>
  <c r="H11" i="7"/>
  <c r="H12" i="7"/>
  <c r="H13" i="7"/>
  <c r="H14" i="7"/>
  <c r="H15" i="7"/>
  <c r="H16" i="7"/>
  <c r="H7" i="7"/>
  <c r="G29" i="7"/>
  <c r="F29" i="7"/>
  <c r="E29" i="7"/>
  <c r="G41" i="7"/>
  <c r="F41" i="7"/>
  <c r="E41" i="7"/>
  <c r="G17" i="7"/>
  <c r="F17" i="7"/>
  <c r="E17" i="7"/>
  <c r="F10" i="6"/>
  <c r="G8" i="1" s="1"/>
  <c r="F9" i="6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E36" i="5"/>
  <c r="G42" i="7" l="1"/>
  <c r="E44" i="7"/>
  <c r="F18" i="4"/>
  <c r="C67" i="4"/>
  <c r="G14" i="1"/>
  <c r="H8" i="1"/>
  <c r="G28" i="1"/>
  <c r="G10" i="6"/>
  <c r="H9" i="6"/>
  <c r="G44" i="7"/>
  <c r="F44" i="7"/>
  <c r="F42" i="7"/>
  <c r="G9" i="6"/>
  <c r="E4" i="7"/>
  <c r="C5" i="10" s="1"/>
  <c r="C6" i="10" s="1"/>
  <c r="E5" i="5"/>
  <c r="C37" i="10" s="1"/>
  <c r="C38" i="10" s="1"/>
  <c r="H41" i="7"/>
  <c r="E42" i="7"/>
  <c r="H29" i="7"/>
  <c r="H17" i="7"/>
  <c r="E45" i="7" s="1"/>
  <c r="H42" i="7" l="1"/>
  <c r="E46" i="7" s="1"/>
  <c r="H44" i="7"/>
  <c r="F87" i="4"/>
  <c r="F19" i="4"/>
  <c r="F90" i="4" s="1"/>
  <c r="F86" i="4"/>
  <c r="F85" i="4"/>
  <c r="I8" i="1"/>
  <c r="H28" i="1"/>
  <c r="H14" i="1"/>
  <c r="D7" i="1"/>
  <c r="E7" i="1"/>
  <c r="F7" i="1"/>
  <c r="G3" i="7"/>
  <c r="E4" i="10" s="1"/>
  <c r="E22" i="10" s="1"/>
  <c r="F3" i="7"/>
  <c r="D4" i="10" s="1"/>
  <c r="D22" i="10" s="1"/>
  <c r="E3" i="7"/>
  <c r="E6" i="5"/>
  <c r="E4" i="8"/>
  <c r="E5" i="8" s="1"/>
  <c r="E5" i="7" l="1"/>
  <c r="C4" i="10"/>
  <c r="C22" i="10" s="1"/>
  <c r="F20" i="4"/>
  <c r="J8" i="1"/>
  <c r="I28" i="1"/>
  <c r="I14" i="1"/>
  <c r="F4" i="7"/>
  <c r="F4" i="8"/>
  <c r="F5" i="8" s="1"/>
  <c r="B7" i="9"/>
  <c r="B13" i="9" s="1"/>
  <c r="F5" i="7" l="1"/>
  <c r="D5" i="10"/>
  <c r="D6" i="10" s="1"/>
  <c r="F21" i="4"/>
  <c r="G18" i="4" s="1"/>
  <c r="F88" i="4"/>
  <c r="K8" i="1"/>
  <c r="J28" i="1"/>
  <c r="J14" i="1"/>
  <c r="E8" i="1"/>
  <c r="G4" i="7"/>
  <c r="G4" i="8"/>
  <c r="G5" i="8" s="1"/>
  <c r="C7" i="9"/>
  <c r="C13" i="9" s="1"/>
  <c r="D8" i="1" l="1"/>
  <c r="D6" i="1" s="1"/>
  <c r="E5" i="10"/>
  <c r="E6" i="10" s="1"/>
  <c r="G19" i="4"/>
  <c r="G20" i="4" s="1"/>
  <c r="G88" i="4" s="1"/>
  <c r="G86" i="4"/>
  <c r="G87" i="4"/>
  <c r="G85" i="4"/>
  <c r="D28" i="1"/>
  <c r="D3" i="4"/>
  <c r="D37" i="4" s="1"/>
  <c r="E6" i="1"/>
  <c r="D29" i="1"/>
  <c r="D14" i="1"/>
  <c r="L8" i="1"/>
  <c r="K28" i="1"/>
  <c r="K14" i="1"/>
  <c r="E29" i="1"/>
  <c r="E14" i="1"/>
  <c r="D9" i="4" s="1"/>
  <c r="D16" i="4" s="1"/>
  <c r="E28" i="1"/>
  <c r="E9" i="1"/>
  <c r="G5" i="7"/>
  <c r="F8" i="1"/>
  <c r="F6" i="1" s="1"/>
  <c r="E11" i="1"/>
  <c r="E10" i="1"/>
  <c r="H4" i="8"/>
  <c r="H5" i="8" s="1"/>
  <c r="D7" i="9"/>
  <c r="D13" i="9" s="1"/>
  <c r="F9" i="4"/>
  <c r="F16" i="4" s="1"/>
  <c r="F3" i="4"/>
  <c r="F2" i="4" s="1"/>
  <c r="F5" i="5"/>
  <c r="I24" i="5"/>
  <c r="M24" i="5"/>
  <c r="Q24" i="5"/>
  <c r="F24" i="5"/>
  <c r="S24" i="5"/>
  <c r="R24" i="5"/>
  <c r="P24" i="5"/>
  <c r="O24" i="5"/>
  <c r="N24" i="5"/>
  <c r="L24" i="5"/>
  <c r="K24" i="5"/>
  <c r="J24" i="5"/>
  <c r="H24" i="5"/>
  <c r="G24" i="5"/>
  <c r="E2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E15" i="5"/>
  <c r="D2" i="4" l="1"/>
  <c r="G5" i="5"/>
  <c r="D37" i="10"/>
  <c r="D38" i="10" s="1"/>
  <c r="D48" i="4"/>
  <c r="D84" i="4" s="1"/>
  <c r="D23" i="4"/>
  <c r="E34" i="5"/>
  <c r="E39" i="5"/>
  <c r="G21" i="4"/>
  <c r="M8" i="1"/>
  <c r="L28" i="1"/>
  <c r="L14" i="1"/>
  <c r="F14" i="1"/>
  <c r="E9" i="4" s="1"/>
  <c r="E16" i="4" s="1"/>
  <c r="F29" i="1"/>
  <c r="F28" i="1"/>
  <c r="C9" i="4"/>
  <c r="C16" i="4" s="1"/>
  <c r="D9" i="1"/>
  <c r="F9" i="1"/>
  <c r="F10" i="1"/>
  <c r="F11" i="1"/>
  <c r="E3" i="4"/>
  <c r="E2" i="4" s="1"/>
  <c r="D10" i="1"/>
  <c r="I4" i="8"/>
  <c r="I5" i="8" s="1"/>
  <c r="E7" i="9"/>
  <c r="E13" i="9" s="1"/>
  <c r="G9" i="4"/>
  <c r="G16" i="4" s="1"/>
  <c r="E35" i="5"/>
  <c r="T38" i="1"/>
  <c r="S34" i="5"/>
  <c r="L38" i="1"/>
  <c r="K34" i="5"/>
  <c r="H38" i="1"/>
  <c r="G34" i="5"/>
  <c r="S38" i="1"/>
  <c r="R34" i="5"/>
  <c r="O38" i="1"/>
  <c r="N34" i="5"/>
  <c r="K38" i="1"/>
  <c r="J34" i="5"/>
  <c r="G38" i="1"/>
  <c r="F34" i="5"/>
  <c r="R38" i="1"/>
  <c r="Q34" i="5"/>
  <c r="N38" i="1"/>
  <c r="M34" i="5"/>
  <c r="J38" i="1"/>
  <c r="I34" i="5"/>
  <c r="K35" i="5"/>
  <c r="P35" i="5"/>
  <c r="P38" i="1"/>
  <c r="O34" i="5"/>
  <c r="Q38" i="1"/>
  <c r="P34" i="5"/>
  <c r="M38" i="1"/>
  <c r="L34" i="5"/>
  <c r="I38" i="1"/>
  <c r="H34" i="5"/>
  <c r="F48" i="4"/>
  <c r="F84" i="4" s="1"/>
  <c r="F37" i="4"/>
  <c r="F23" i="4"/>
  <c r="G3" i="4"/>
  <c r="G2" i="4" s="1"/>
  <c r="M35" i="5"/>
  <c r="O35" i="5"/>
  <c r="G35" i="5"/>
  <c r="L35" i="5"/>
  <c r="R35" i="5"/>
  <c r="F35" i="5"/>
  <c r="J35" i="5"/>
  <c r="I35" i="5"/>
  <c r="H35" i="5"/>
  <c r="N35" i="5"/>
  <c r="S35" i="5"/>
  <c r="Q35" i="5"/>
  <c r="F6" i="5"/>
  <c r="G6" i="5"/>
  <c r="E12" i="1"/>
  <c r="H5" i="5" l="1"/>
  <c r="E37" i="10"/>
  <c r="E38" i="10" s="1"/>
  <c r="I38" i="5"/>
  <c r="I37" i="5"/>
  <c r="R37" i="5"/>
  <c r="R38" i="5"/>
  <c r="L37" i="5"/>
  <c r="L38" i="5"/>
  <c r="Q38" i="5"/>
  <c r="Q37" i="5"/>
  <c r="K37" i="5"/>
  <c r="K38" i="5"/>
  <c r="H37" i="5"/>
  <c r="H38" i="5"/>
  <c r="P38" i="5"/>
  <c r="P37" i="5"/>
  <c r="M38" i="5"/>
  <c r="M37" i="5"/>
  <c r="F37" i="5"/>
  <c r="F38" i="5"/>
  <c r="N38" i="5"/>
  <c r="N37" i="5"/>
  <c r="G37" i="5"/>
  <c r="G38" i="5"/>
  <c r="S37" i="5"/>
  <c r="S38" i="5"/>
  <c r="O37" i="5"/>
  <c r="O38" i="5"/>
  <c r="J38" i="5"/>
  <c r="J37" i="5"/>
  <c r="E37" i="5"/>
  <c r="E40" i="5"/>
  <c r="E47" i="7" s="1"/>
  <c r="E38" i="5"/>
  <c r="H18" i="4"/>
  <c r="G89" i="4"/>
  <c r="F25" i="8"/>
  <c r="C26" i="9" s="1"/>
  <c r="G25" i="8"/>
  <c r="D26" i="9" s="1"/>
  <c r="E25" i="8"/>
  <c r="B26" i="9" s="1"/>
  <c r="N8" i="1"/>
  <c r="M28" i="1"/>
  <c r="M14" i="1"/>
  <c r="F12" i="1"/>
  <c r="D11" i="1"/>
  <c r="D12" i="1" s="1"/>
  <c r="C3" i="4"/>
  <c r="C2" i="4" s="1"/>
  <c r="E37" i="4"/>
  <c r="E23" i="4"/>
  <c r="E48" i="4"/>
  <c r="E84" i="4" s="1"/>
  <c r="J4" i="8"/>
  <c r="J5" i="8" s="1"/>
  <c r="F7" i="9"/>
  <c r="F13" i="9" s="1"/>
  <c r="H9" i="4"/>
  <c r="H16" i="4" s="1"/>
  <c r="G48" i="4"/>
  <c r="G84" i="4" s="1"/>
  <c r="D4" i="4"/>
  <c r="D6" i="4"/>
  <c r="D5" i="4"/>
  <c r="G23" i="4"/>
  <c r="G37" i="4"/>
  <c r="H3" i="4"/>
  <c r="H2" i="4" s="1"/>
  <c r="I5" i="5" l="1"/>
  <c r="F37" i="10"/>
  <c r="F38" i="10" s="1"/>
  <c r="H6" i="5"/>
  <c r="G93" i="4"/>
  <c r="F16" i="8" s="1"/>
  <c r="C15" i="9" s="1"/>
  <c r="G94" i="4"/>
  <c r="F17" i="8" s="1"/>
  <c r="C16" i="9" s="1"/>
  <c r="G92" i="4"/>
  <c r="F15" i="8" s="1"/>
  <c r="C14" i="9" s="1"/>
  <c r="H19" i="4"/>
  <c r="H20" i="4" s="1"/>
  <c r="H88" i="4" s="1"/>
  <c r="H86" i="4"/>
  <c r="H85" i="4"/>
  <c r="H87" i="4"/>
  <c r="O8" i="1"/>
  <c r="N28" i="1"/>
  <c r="N14" i="1"/>
  <c r="C6" i="4"/>
  <c r="C37" i="4"/>
  <c r="C23" i="4"/>
  <c r="C48" i="4"/>
  <c r="C84" i="4" s="1"/>
  <c r="C4" i="4"/>
  <c r="C5" i="4"/>
  <c r="K4" i="8"/>
  <c r="K5" i="8" s="1"/>
  <c r="G7" i="9"/>
  <c r="G13" i="9" s="1"/>
  <c r="I9" i="4"/>
  <c r="I16" i="4" s="1"/>
  <c r="H48" i="4"/>
  <c r="H84" i="4" s="1"/>
  <c r="D7" i="4"/>
  <c r="H23" i="4"/>
  <c r="H37" i="4"/>
  <c r="I3" i="4"/>
  <c r="I2" i="4" s="1"/>
  <c r="E4" i="4"/>
  <c r="E5" i="4"/>
  <c r="E6" i="4"/>
  <c r="G26" i="1"/>
  <c r="J5" i="5" l="1"/>
  <c r="G37" i="10"/>
  <c r="G38" i="10" s="1"/>
  <c r="I6" i="5"/>
  <c r="H21" i="4"/>
  <c r="P8" i="1"/>
  <c r="O28" i="1"/>
  <c r="O14" i="1"/>
  <c r="C7" i="4"/>
  <c r="F25" i="4"/>
  <c r="L4" i="8"/>
  <c r="L5" i="8" s="1"/>
  <c r="H7" i="9"/>
  <c r="H13" i="9" s="1"/>
  <c r="J9" i="4"/>
  <c r="J16" i="4" s="1"/>
  <c r="I48" i="4"/>
  <c r="I84" i="4" s="1"/>
  <c r="I37" i="4"/>
  <c r="I23" i="4"/>
  <c r="J3" i="4"/>
  <c r="J2" i="4" s="1"/>
  <c r="E7" i="4"/>
  <c r="F38" i="4"/>
  <c r="F42" i="4"/>
  <c r="F27" i="4"/>
  <c r="F31" i="4"/>
  <c r="F6" i="4"/>
  <c r="F29" i="4"/>
  <c r="F24" i="4"/>
  <c r="F39" i="4"/>
  <c r="F43" i="4"/>
  <c r="F28" i="4"/>
  <c r="F32" i="4"/>
  <c r="F40" i="4"/>
  <c r="F44" i="4"/>
  <c r="F33" i="4"/>
  <c r="F41" i="4"/>
  <c r="F45" i="4"/>
  <c r="F26" i="4"/>
  <c r="F30" i="4"/>
  <c r="F34" i="4"/>
  <c r="F5" i="4"/>
  <c r="H26" i="1"/>
  <c r="K5" i="5" l="1"/>
  <c r="H37" i="10"/>
  <c r="H38" i="10" s="1"/>
  <c r="J6" i="5"/>
  <c r="F11" i="4"/>
  <c r="F12" i="4" s="1"/>
  <c r="F13" i="4" s="1"/>
  <c r="F49" i="4" s="1"/>
  <c r="I18" i="4"/>
  <c r="H89" i="4"/>
  <c r="Q8" i="1"/>
  <c r="P28" i="1"/>
  <c r="P14" i="1"/>
  <c r="F35" i="4"/>
  <c r="M4" i="8"/>
  <c r="M5" i="8" s="1"/>
  <c r="I7" i="9"/>
  <c r="I13" i="9" s="1"/>
  <c r="K9" i="4"/>
  <c r="K16" i="4" s="1"/>
  <c r="J48" i="4"/>
  <c r="J84" i="4" s="1"/>
  <c r="J37" i="4"/>
  <c r="J23" i="4"/>
  <c r="K3" i="4"/>
  <c r="K2" i="4" s="1"/>
  <c r="F46" i="4"/>
  <c r="G38" i="4"/>
  <c r="G39" i="4"/>
  <c r="G40" i="4"/>
  <c r="G41" i="4"/>
  <c r="G42" i="4"/>
  <c r="G43" i="4"/>
  <c r="G44" i="4"/>
  <c r="G45" i="4"/>
  <c r="G5" i="4"/>
  <c r="G6" i="4"/>
  <c r="G24" i="4"/>
  <c r="G26" i="4"/>
  <c r="G30" i="4"/>
  <c r="G34" i="4"/>
  <c r="G28" i="4"/>
  <c r="G27" i="4"/>
  <c r="G31" i="4"/>
  <c r="G32" i="4"/>
  <c r="G25" i="4"/>
  <c r="G29" i="4"/>
  <c r="G33" i="4"/>
  <c r="F7" i="4"/>
  <c r="I26" i="1"/>
  <c r="F50" i="4" l="1"/>
  <c r="L5" i="5"/>
  <c r="I37" i="10"/>
  <c r="I38" i="10" s="1"/>
  <c r="K6" i="5"/>
  <c r="F51" i="4"/>
  <c r="E12" i="8" s="1"/>
  <c r="B9" i="9" s="1"/>
  <c r="F52" i="4"/>
  <c r="H92" i="4"/>
  <c r="G15" i="8" s="1"/>
  <c r="D14" i="9" s="1"/>
  <c r="H93" i="4"/>
  <c r="G16" i="8" s="1"/>
  <c r="D15" i="9" s="1"/>
  <c r="H94" i="4"/>
  <c r="G17" i="8" s="1"/>
  <c r="D16" i="9" s="1"/>
  <c r="I87" i="4"/>
  <c r="I86" i="4"/>
  <c r="I85" i="4"/>
  <c r="I19" i="4"/>
  <c r="I20" i="4" s="1"/>
  <c r="I88" i="4" s="1"/>
  <c r="F53" i="4"/>
  <c r="R8" i="1"/>
  <c r="Q28" i="1"/>
  <c r="Q14" i="1"/>
  <c r="F54" i="4"/>
  <c r="F55" i="4"/>
  <c r="F56" i="4"/>
  <c r="N4" i="8"/>
  <c r="N5" i="8" s="1"/>
  <c r="J7" i="9"/>
  <c r="J13" i="9" s="1"/>
  <c r="L9" i="4"/>
  <c r="L16" i="4" s="1"/>
  <c r="E6" i="8"/>
  <c r="E7" i="8"/>
  <c r="F89" i="4"/>
  <c r="G35" i="4"/>
  <c r="F14" i="4"/>
  <c r="G11" i="4" s="1"/>
  <c r="K48" i="4"/>
  <c r="K84" i="4" s="1"/>
  <c r="E13" i="8"/>
  <c r="B10" i="9" s="1"/>
  <c r="E11" i="8"/>
  <c r="B8" i="9" s="1"/>
  <c r="K23" i="4"/>
  <c r="K37" i="4"/>
  <c r="L3" i="4"/>
  <c r="L2" i="4" s="1"/>
  <c r="G7" i="4"/>
  <c r="G46" i="4"/>
  <c r="H25" i="4"/>
  <c r="H26" i="4"/>
  <c r="H27" i="4"/>
  <c r="H28" i="4"/>
  <c r="H29" i="4"/>
  <c r="H30" i="4"/>
  <c r="H31" i="4"/>
  <c r="H32" i="4"/>
  <c r="H33" i="4"/>
  <c r="H34" i="4"/>
  <c r="H38" i="4"/>
  <c r="H39" i="4"/>
  <c r="H40" i="4"/>
  <c r="H41" i="4"/>
  <c r="H42" i="4"/>
  <c r="H43" i="4"/>
  <c r="H44" i="4"/>
  <c r="H45" i="4"/>
  <c r="H5" i="4"/>
  <c r="H6" i="4"/>
  <c r="H24" i="4"/>
  <c r="J26" i="1"/>
  <c r="M5" i="5" l="1"/>
  <c r="J37" i="10"/>
  <c r="J38" i="10" s="1"/>
  <c r="L6" i="5"/>
  <c r="I21" i="4"/>
  <c r="I89" i="4" s="1"/>
  <c r="I93" i="4" s="1"/>
  <c r="H16" i="8" s="1"/>
  <c r="E15" i="9" s="1"/>
  <c r="S8" i="1"/>
  <c r="R28" i="1"/>
  <c r="R14" i="1"/>
  <c r="F7" i="8"/>
  <c r="G53" i="4"/>
  <c r="F6" i="8"/>
  <c r="O4" i="8"/>
  <c r="O5" i="8" s="1"/>
  <c r="K7" i="9"/>
  <c r="K13" i="9" s="1"/>
  <c r="M9" i="4"/>
  <c r="M16" i="4" s="1"/>
  <c r="F58" i="4"/>
  <c r="F92" i="4"/>
  <c r="F93" i="4"/>
  <c r="F94" i="4"/>
  <c r="G12" i="4"/>
  <c r="G13" i="4" s="1"/>
  <c r="G49" i="4" s="1"/>
  <c r="G51" i="4"/>
  <c r="G50" i="4"/>
  <c r="G52" i="4"/>
  <c r="F60" i="4"/>
  <c r="E10" i="8"/>
  <c r="E8" i="8"/>
  <c r="F59" i="4"/>
  <c r="E9" i="8"/>
  <c r="H35" i="4"/>
  <c r="L48" i="4"/>
  <c r="L84" i="4" s="1"/>
  <c r="M3" i="4"/>
  <c r="M2" i="4" s="1"/>
  <c r="L37" i="4"/>
  <c r="L23" i="4"/>
  <c r="I25" i="4"/>
  <c r="I26" i="4"/>
  <c r="I27" i="4"/>
  <c r="I28" i="4"/>
  <c r="I29" i="4"/>
  <c r="I30" i="4"/>
  <c r="I31" i="4"/>
  <c r="I32" i="4"/>
  <c r="I33" i="4"/>
  <c r="I34" i="4"/>
  <c r="I41" i="4"/>
  <c r="I45" i="4"/>
  <c r="I5" i="4"/>
  <c r="I24" i="4"/>
  <c r="I38" i="4"/>
  <c r="I42" i="4"/>
  <c r="I6" i="4"/>
  <c r="I39" i="4"/>
  <c r="I43" i="4"/>
  <c r="I40" i="4"/>
  <c r="I44" i="4"/>
  <c r="H7" i="4"/>
  <c r="H46" i="4"/>
  <c r="K26" i="1"/>
  <c r="J18" i="4" l="1"/>
  <c r="N5" i="5"/>
  <c r="K37" i="10"/>
  <c r="K38" i="10" s="1"/>
  <c r="M6" i="5"/>
  <c r="I92" i="4"/>
  <c r="H15" i="8" s="1"/>
  <c r="E14" i="9" s="1"/>
  <c r="I94" i="4"/>
  <c r="H17" i="8" s="1"/>
  <c r="E16" i="9" s="1"/>
  <c r="J19" i="4"/>
  <c r="J20" i="4" s="1"/>
  <c r="J88" i="4" s="1"/>
  <c r="J86" i="4"/>
  <c r="J85" i="4"/>
  <c r="J87" i="4"/>
  <c r="J21" i="4"/>
  <c r="T8" i="1"/>
  <c r="S28" i="1"/>
  <c r="S14" i="1"/>
  <c r="G54" i="4"/>
  <c r="G58" i="4" s="1"/>
  <c r="G56" i="4"/>
  <c r="G55" i="4"/>
  <c r="F9" i="8" s="1"/>
  <c r="G7" i="8"/>
  <c r="H53" i="4"/>
  <c r="G6" i="8"/>
  <c r="P4" i="8"/>
  <c r="P5" i="8" s="1"/>
  <c r="L7" i="9"/>
  <c r="L13" i="9" s="1"/>
  <c r="N9" i="4"/>
  <c r="N16" i="4" s="1"/>
  <c r="F13" i="8"/>
  <c r="C10" i="9" s="1"/>
  <c r="F11" i="8"/>
  <c r="C8" i="9" s="1"/>
  <c r="G14" i="4"/>
  <c r="H11" i="4" s="1"/>
  <c r="H51" i="4" s="1"/>
  <c r="F12" i="8"/>
  <c r="C9" i="9" s="1"/>
  <c r="F10" i="8"/>
  <c r="E17" i="8"/>
  <c r="B16" i="9" s="1"/>
  <c r="E16" i="8"/>
  <c r="B15" i="9" s="1"/>
  <c r="E15" i="8"/>
  <c r="B14" i="9" s="1"/>
  <c r="I35" i="4"/>
  <c r="M48" i="4"/>
  <c r="M84" i="4" s="1"/>
  <c r="I7" i="4"/>
  <c r="M37" i="4"/>
  <c r="M23" i="4"/>
  <c r="N3" i="4"/>
  <c r="N2" i="4" s="1"/>
  <c r="I46" i="4"/>
  <c r="J40" i="4"/>
  <c r="J44" i="4"/>
  <c r="J25" i="4"/>
  <c r="J29" i="4"/>
  <c r="J33" i="4"/>
  <c r="J38" i="4"/>
  <c r="J27" i="4"/>
  <c r="J41" i="4"/>
  <c r="J45" i="4"/>
  <c r="J26" i="4"/>
  <c r="J30" i="4"/>
  <c r="J34" i="4"/>
  <c r="J5" i="4"/>
  <c r="J24" i="4"/>
  <c r="J42" i="4"/>
  <c r="J31" i="4"/>
  <c r="J6" i="4"/>
  <c r="J39" i="4"/>
  <c r="J28" i="4"/>
  <c r="J32" i="4"/>
  <c r="J43" i="4"/>
  <c r="L26" i="1"/>
  <c r="O5" i="5" l="1"/>
  <c r="L37" i="10"/>
  <c r="L38" i="10" s="1"/>
  <c r="N6" i="5"/>
  <c r="J89" i="4"/>
  <c r="J92" i="4" s="1"/>
  <c r="I15" i="8" s="1"/>
  <c r="F14" i="9" s="1"/>
  <c r="K18" i="4"/>
  <c r="F8" i="8"/>
  <c r="U8" i="1"/>
  <c r="T28" i="1"/>
  <c r="T14" i="1"/>
  <c r="H6" i="8"/>
  <c r="H7" i="8"/>
  <c r="I53" i="4"/>
  <c r="H12" i="4"/>
  <c r="H52" i="4"/>
  <c r="H50" i="4"/>
  <c r="Q4" i="8"/>
  <c r="Q5" i="8" s="1"/>
  <c r="M7" i="9"/>
  <c r="M13" i="9" s="1"/>
  <c r="O9" i="4"/>
  <c r="O16" i="4" s="1"/>
  <c r="G59" i="4"/>
  <c r="G60" i="4"/>
  <c r="J35" i="4"/>
  <c r="O3" i="4"/>
  <c r="O2" i="4" s="1"/>
  <c r="N48" i="4"/>
  <c r="N84" i="4" s="1"/>
  <c r="N23" i="4"/>
  <c r="N37" i="4"/>
  <c r="J7" i="4"/>
  <c r="K38" i="4"/>
  <c r="K39" i="4"/>
  <c r="K40" i="4"/>
  <c r="K41" i="4"/>
  <c r="K42" i="4"/>
  <c r="K43" i="4"/>
  <c r="K44" i="4"/>
  <c r="K45" i="4"/>
  <c r="K5" i="4"/>
  <c r="K6" i="4"/>
  <c r="K28" i="4"/>
  <c r="K32" i="4"/>
  <c r="K26" i="4"/>
  <c r="K25" i="4"/>
  <c r="K29" i="4"/>
  <c r="K33" i="4"/>
  <c r="K30" i="4"/>
  <c r="K34" i="4"/>
  <c r="K24" i="4"/>
  <c r="K31" i="4"/>
  <c r="K27" i="4"/>
  <c r="J46" i="4"/>
  <c r="M26" i="1"/>
  <c r="P5" i="5" l="1"/>
  <c r="M37" i="10"/>
  <c r="M38" i="10" s="1"/>
  <c r="O6" i="5"/>
  <c r="J93" i="4"/>
  <c r="I16" i="8" s="1"/>
  <c r="F15" i="9" s="1"/>
  <c r="K87" i="4"/>
  <c r="K86" i="4"/>
  <c r="K85" i="4"/>
  <c r="K19" i="4"/>
  <c r="K20" i="4" s="1"/>
  <c r="K88" i="4" s="1"/>
  <c r="J94" i="4"/>
  <c r="I17" i="8" s="1"/>
  <c r="F16" i="9" s="1"/>
  <c r="U14" i="1"/>
  <c r="U28" i="1"/>
  <c r="I7" i="8"/>
  <c r="J53" i="4"/>
  <c r="I6" i="8"/>
  <c r="H13" i="4"/>
  <c r="H49" i="4" s="1"/>
  <c r="G12" i="8" s="1"/>
  <c r="D9" i="9" s="1"/>
  <c r="R4" i="8"/>
  <c r="R5" i="8" s="1"/>
  <c r="N7" i="9"/>
  <c r="N13" i="9" s="1"/>
  <c r="P9" i="4"/>
  <c r="P16" i="4" s="1"/>
  <c r="K35" i="4"/>
  <c r="O48" i="4"/>
  <c r="O84" i="4" s="1"/>
  <c r="O37" i="4"/>
  <c r="O23" i="4"/>
  <c r="P3" i="4"/>
  <c r="P2" i="4" s="1"/>
  <c r="L25" i="4"/>
  <c r="L26" i="4"/>
  <c r="L27" i="4"/>
  <c r="L28" i="4"/>
  <c r="L29" i="4"/>
  <c r="L30" i="4"/>
  <c r="L31" i="4"/>
  <c r="L32" i="4"/>
  <c r="L33" i="4"/>
  <c r="L34" i="4"/>
  <c r="L38" i="4"/>
  <c r="L39" i="4"/>
  <c r="L40" i="4"/>
  <c r="L41" i="4"/>
  <c r="L42" i="4"/>
  <c r="L43" i="4"/>
  <c r="L44" i="4"/>
  <c r="L45" i="4"/>
  <c r="L5" i="4"/>
  <c r="L6" i="4"/>
  <c r="L24" i="4"/>
  <c r="K7" i="4"/>
  <c r="K46" i="4"/>
  <c r="N26" i="1"/>
  <c r="Q5" i="5" l="1"/>
  <c r="N37" i="10"/>
  <c r="N38" i="10" s="1"/>
  <c r="P6" i="5"/>
  <c r="K21" i="4"/>
  <c r="G11" i="8"/>
  <c r="D8" i="9" s="1"/>
  <c r="H56" i="4"/>
  <c r="H60" i="4" s="1"/>
  <c r="G13" i="8"/>
  <c r="D10" i="9" s="1"/>
  <c r="H55" i="4"/>
  <c r="G9" i="8" s="1"/>
  <c r="H14" i="4"/>
  <c r="I11" i="4" s="1"/>
  <c r="I51" i="4" s="1"/>
  <c r="H54" i="4"/>
  <c r="H58" i="4" s="1"/>
  <c r="J7" i="8"/>
  <c r="K53" i="4"/>
  <c r="J6" i="8"/>
  <c r="S4" i="8"/>
  <c r="O7" i="9"/>
  <c r="O13" i="9" s="1"/>
  <c r="Q9" i="4"/>
  <c r="Q16" i="4" s="1"/>
  <c r="L35" i="4"/>
  <c r="P48" i="4"/>
  <c r="P84" i="4" s="1"/>
  <c r="P23" i="4"/>
  <c r="P37" i="4"/>
  <c r="Q3" i="4"/>
  <c r="Q2" i="4" s="1"/>
  <c r="M27" i="4"/>
  <c r="M31" i="4"/>
  <c r="M40" i="4"/>
  <c r="M44" i="4"/>
  <c r="M5" i="4"/>
  <c r="M24" i="4"/>
  <c r="M28" i="4"/>
  <c r="M32" i="4"/>
  <c r="M41" i="4"/>
  <c r="M45" i="4"/>
  <c r="M26" i="4"/>
  <c r="M30" i="4"/>
  <c r="M34" i="4"/>
  <c r="M6" i="4"/>
  <c r="M25" i="4"/>
  <c r="M29" i="4"/>
  <c r="M33" i="4"/>
  <c r="M38" i="4"/>
  <c r="M42" i="4"/>
  <c r="M39" i="4"/>
  <c r="M43" i="4"/>
  <c r="L7" i="4"/>
  <c r="L46" i="4"/>
  <c r="O26" i="1"/>
  <c r="R5" i="5" l="1"/>
  <c r="O37" i="10"/>
  <c r="O38" i="10" s="1"/>
  <c r="Q6" i="5"/>
  <c r="L18" i="4"/>
  <c r="K89" i="4"/>
  <c r="G10" i="8"/>
  <c r="I50" i="4"/>
  <c r="I52" i="4"/>
  <c r="I12" i="4"/>
  <c r="I13" i="4" s="1"/>
  <c r="I49" i="4" s="1"/>
  <c r="H12" i="8" s="1"/>
  <c r="E9" i="9" s="1"/>
  <c r="G8" i="8"/>
  <c r="H59" i="4"/>
  <c r="K6" i="8"/>
  <c r="K7" i="8"/>
  <c r="L53" i="4"/>
  <c r="P7" i="9"/>
  <c r="P13" i="9" s="1"/>
  <c r="S5" i="8"/>
  <c r="R9" i="4"/>
  <c r="R16" i="4" s="1"/>
  <c r="M35" i="4"/>
  <c r="O25" i="4"/>
  <c r="O27" i="4"/>
  <c r="O29" i="4"/>
  <c r="O31" i="4"/>
  <c r="O33" i="4"/>
  <c r="O40" i="4"/>
  <c r="O5" i="4"/>
  <c r="O39" i="4"/>
  <c r="O41" i="4"/>
  <c r="O43" i="4"/>
  <c r="O45" i="4"/>
  <c r="O44" i="4"/>
  <c r="O24" i="4"/>
  <c r="O26" i="4"/>
  <c r="O28" i="4"/>
  <c r="O30" i="4"/>
  <c r="O32" i="4"/>
  <c r="O34" i="4"/>
  <c r="O6" i="4"/>
  <c r="O42" i="4"/>
  <c r="O38" i="4"/>
  <c r="Q23" i="4"/>
  <c r="Q37" i="4"/>
  <c r="Q48" i="4"/>
  <c r="Q84" i="4" s="1"/>
  <c r="R3" i="4"/>
  <c r="R2" i="4" s="1"/>
  <c r="M46" i="4"/>
  <c r="M7" i="4"/>
  <c r="N26" i="4"/>
  <c r="N30" i="4"/>
  <c r="N34" i="4"/>
  <c r="N39" i="4"/>
  <c r="N43" i="4"/>
  <c r="N29" i="4"/>
  <c r="N33" i="4"/>
  <c r="N27" i="4"/>
  <c r="N31" i="4"/>
  <c r="N40" i="4"/>
  <c r="N44" i="4"/>
  <c r="N6" i="4"/>
  <c r="N38" i="4"/>
  <c r="N42" i="4"/>
  <c r="N5" i="4"/>
  <c r="N24" i="4"/>
  <c r="N28" i="4"/>
  <c r="N32" i="4"/>
  <c r="N41" i="4"/>
  <c r="N45" i="4"/>
  <c r="N25" i="4"/>
  <c r="P26" i="1"/>
  <c r="S5" i="5" l="1"/>
  <c r="P37" i="10"/>
  <c r="P38" i="10" s="1"/>
  <c r="R6" i="5"/>
  <c r="K94" i="4"/>
  <c r="J17" i="8" s="1"/>
  <c r="G16" i="9" s="1"/>
  <c r="K93" i="4"/>
  <c r="J16" i="8" s="1"/>
  <c r="G15" i="9" s="1"/>
  <c r="K92" i="4"/>
  <c r="J15" i="8" s="1"/>
  <c r="G14" i="9" s="1"/>
  <c r="L19" i="4"/>
  <c r="L20" i="4" s="1"/>
  <c r="L88" i="4" s="1"/>
  <c r="L85" i="4"/>
  <c r="L86" i="4"/>
  <c r="L87" i="4"/>
  <c r="H11" i="8"/>
  <c r="E8" i="9" s="1"/>
  <c r="H13" i="8"/>
  <c r="E10" i="9" s="1"/>
  <c r="I14" i="4"/>
  <c r="J11" i="4" s="1"/>
  <c r="J12" i="4" s="1"/>
  <c r="I55" i="4"/>
  <c r="H9" i="8" s="1"/>
  <c r="I54" i="4"/>
  <c r="H8" i="8" s="1"/>
  <c r="I56" i="4"/>
  <c r="I60" i="4" s="1"/>
  <c r="L6" i="8"/>
  <c r="L7" i="8"/>
  <c r="M53" i="4"/>
  <c r="T9" i="4"/>
  <c r="T16" i="4" s="1"/>
  <c r="S9" i="4"/>
  <c r="S16" i="4" s="1"/>
  <c r="N35" i="4"/>
  <c r="O35" i="4"/>
  <c r="O7" i="4"/>
  <c r="O46" i="4"/>
  <c r="P6" i="4"/>
  <c r="P40" i="4"/>
  <c r="P42" i="4"/>
  <c r="P44" i="4"/>
  <c r="P24" i="4"/>
  <c r="P28" i="4"/>
  <c r="P30" i="4"/>
  <c r="P25" i="4"/>
  <c r="P27" i="4"/>
  <c r="P29" i="4"/>
  <c r="P31" i="4"/>
  <c r="P33" i="4"/>
  <c r="P26" i="4"/>
  <c r="P34" i="4"/>
  <c r="P5" i="4"/>
  <c r="P39" i="4"/>
  <c r="P41" i="4"/>
  <c r="P43" i="4"/>
  <c r="P45" i="4"/>
  <c r="P32" i="4"/>
  <c r="P38" i="4"/>
  <c r="T3" i="4"/>
  <c r="T2" i="4" s="1"/>
  <c r="S3" i="4"/>
  <c r="S2" i="4" s="1"/>
  <c r="R37" i="4"/>
  <c r="R23" i="4"/>
  <c r="R48" i="4"/>
  <c r="R84" i="4" s="1"/>
  <c r="N46" i="4"/>
  <c r="N7" i="4"/>
  <c r="S6" i="5" l="1"/>
  <c r="Q37" i="10"/>
  <c r="Q38" i="10" s="1"/>
  <c r="J50" i="4"/>
  <c r="L21" i="4"/>
  <c r="H10" i="8"/>
  <c r="J52" i="4"/>
  <c r="I59" i="4"/>
  <c r="J51" i="4"/>
  <c r="I58" i="4"/>
  <c r="N6" i="8"/>
  <c r="M6" i="8"/>
  <c r="M7" i="8"/>
  <c r="N53" i="4"/>
  <c r="N7" i="8"/>
  <c r="O53" i="4"/>
  <c r="J13" i="4"/>
  <c r="J49" i="4" s="1"/>
  <c r="P35" i="4"/>
  <c r="P7" i="4"/>
  <c r="S37" i="4"/>
  <c r="S23" i="4"/>
  <c r="S48" i="4"/>
  <c r="S84" i="4" s="1"/>
  <c r="Q6" i="4"/>
  <c r="Q27" i="4"/>
  <c r="Q31" i="4"/>
  <c r="Q39" i="4"/>
  <c r="Q43" i="4"/>
  <c r="Q24" i="4"/>
  <c r="Q28" i="4"/>
  <c r="Q32" i="4"/>
  <c r="Q40" i="4"/>
  <c r="Q44" i="4"/>
  <c r="Q25" i="4"/>
  <c r="Q29" i="4"/>
  <c r="Q33" i="4"/>
  <c r="Q41" i="4"/>
  <c r="Q45" i="4"/>
  <c r="Q5" i="4"/>
  <c r="Q26" i="4"/>
  <c r="Q30" i="4"/>
  <c r="Q34" i="4"/>
  <c r="Q42" i="4"/>
  <c r="Q38" i="4"/>
  <c r="T48" i="4"/>
  <c r="T84" i="4" s="1"/>
  <c r="T23" i="4"/>
  <c r="T37" i="4"/>
  <c r="P46" i="4"/>
  <c r="I13" i="8" l="1"/>
  <c r="F10" i="9" s="1"/>
  <c r="M18" i="4"/>
  <c r="L89" i="4"/>
  <c r="J54" i="4"/>
  <c r="J58" i="4" s="1"/>
  <c r="O6" i="8"/>
  <c r="J55" i="4"/>
  <c r="J59" i="4" s="1"/>
  <c r="O7" i="8"/>
  <c r="P53" i="4"/>
  <c r="J56" i="4"/>
  <c r="J60" i="4" s="1"/>
  <c r="J14" i="4"/>
  <c r="K11" i="4" s="1"/>
  <c r="K12" i="4" s="1"/>
  <c r="I11" i="8"/>
  <c r="F8" i="9" s="1"/>
  <c r="I12" i="8"/>
  <c r="F9" i="9" s="1"/>
  <c r="Q35" i="4"/>
  <c r="Q7" i="4"/>
  <c r="Q46" i="4"/>
  <c r="R24" i="4"/>
  <c r="R28" i="4"/>
  <c r="R32" i="4"/>
  <c r="R40" i="4"/>
  <c r="R44" i="4"/>
  <c r="R25" i="4"/>
  <c r="R29" i="4"/>
  <c r="R41" i="4"/>
  <c r="R45" i="4"/>
  <c r="R5" i="4"/>
  <c r="R30" i="4"/>
  <c r="R42" i="4"/>
  <c r="R6" i="4"/>
  <c r="R31" i="4"/>
  <c r="R43" i="4"/>
  <c r="R33" i="4"/>
  <c r="R26" i="4"/>
  <c r="R34" i="4"/>
  <c r="R27" i="4"/>
  <c r="R39" i="4"/>
  <c r="R38" i="4"/>
  <c r="L93" i="4" l="1"/>
  <c r="K16" i="8" s="1"/>
  <c r="H15" i="9" s="1"/>
  <c r="L94" i="4"/>
  <c r="K17" i="8" s="1"/>
  <c r="H16" i="9" s="1"/>
  <c r="L92" i="4"/>
  <c r="K15" i="8" s="1"/>
  <c r="H14" i="9" s="1"/>
  <c r="M19" i="4"/>
  <c r="M20" i="4" s="1"/>
  <c r="M88" i="4" s="1"/>
  <c r="M85" i="4"/>
  <c r="M87" i="4"/>
  <c r="M86" i="4"/>
  <c r="I10" i="8"/>
  <c r="K51" i="4"/>
  <c r="P6" i="8"/>
  <c r="P7" i="8"/>
  <c r="Q53" i="4"/>
  <c r="K50" i="4"/>
  <c r="K52" i="4"/>
  <c r="I9" i="8"/>
  <c r="I8" i="8"/>
  <c r="K13" i="4"/>
  <c r="K55" i="4" s="1"/>
  <c r="R35" i="4"/>
  <c r="S24" i="4"/>
  <c r="S31" i="4"/>
  <c r="S6" i="4"/>
  <c r="S32" i="4"/>
  <c r="S41" i="4"/>
  <c r="S43" i="4"/>
  <c r="S27" i="4"/>
  <c r="S42" i="4"/>
  <c r="S26" i="4"/>
  <c r="S39" i="4"/>
  <c r="S29" i="4"/>
  <c r="S5" i="4"/>
  <c r="S30" i="4"/>
  <c r="S40" i="4"/>
  <c r="S25" i="4"/>
  <c r="S33" i="4"/>
  <c r="S34" i="4"/>
  <c r="S45" i="4"/>
  <c r="S28" i="4"/>
  <c r="S44" i="4"/>
  <c r="S38" i="4"/>
  <c r="R7" i="4"/>
  <c r="R46" i="4"/>
  <c r="M21" i="4" l="1"/>
  <c r="M89" i="4" s="1"/>
  <c r="K56" i="4"/>
  <c r="K54" i="4"/>
  <c r="K58" i="4" s="1"/>
  <c r="Q7" i="8"/>
  <c r="R53" i="4"/>
  <c r="Q6" i="8"/>
  <c r="J9" i="8"/>
  <c r="K49" i="4"/>
  <c r="K14" i="4"/>
  <c r="L11" i="4" s="1"/>
  <c r="S35" i="4"/>
  <c r="S7" i="4"/>
  <c r="S46" i="4"/>
  <c r="T33" i="4"/>
  <c r="T43" i="4"/>
  <c r="T28" i="4"/>
  <c r="T31" i="4"/>
  <c r="T41" i="4"/>
  <c r="T39" i="4"/>
  <c r="T32" i="4"/>
  <c r="T6" i="4"/>
  <c r="T42" i="4"/>
  <c r="T26" i="4"/>
  <c r="T38" i="4"/>
  <c r="T34" i="4"/>
  <c r="T27" i="4"/>
  <c r="T5" i="4"/>
  <c r="T45" i="4"/>
  <c r="T25" i="4"/>
  <c r="T30" i="4"/>
  <c r="T44" i="4"/>
  <c r="T29" i="4"/>
  <c r="T24" i="4"/>
  <c r="T40" i="4"/>
  <c r="N18" i="4" l="1"/>
  <c r="M92" i="4"/>
  <c r="L15" i="8" s="1"/>
  <c r="I14" i="9" s="1"/>
  <c r="M94" i="4"/>
  <c r="L17" i="8" s="1"/>
  <c r="I16" i="9" s="1"/>
  <c r="M93" i="4"/>
  <c r="L16" i="8" s="1"/>
  <c r="I15" i="9" s="1"/>
  <c r="N86" i="4"/>
  <c r="N19" i="4"/>
  <c r="N20" i="4" s="1"/>
  <c r="N88" i="4" s="1"/>
  <c r="N85" i="4"/>
  <c r="N87" i="4"/>
  <c r="J8" i="8"/>
  <c r="R7" i="8"/>
  <c r="S53" i="4"/>
  <c r="R6" i="8"/>
  <c r="K59" i="4"/>
  <c r="J10" i="8"/>
  <c r="K60" i="4"/>
  <c r="L52" i="4"/>
  <c r="L51" i="4"/>
  <c r="L50" i="4"/>
  <c r="L12" i="4"/>
  <c r="J12" i="8"/>
  <c r="G9" i="9" s="1"/>
  <c r="J13" i="8"/>
  <c r="G10" i="9" s="1"/>
  <c r="J11" i="8"/>
  <c r="G8" i="9" s="1"/>
  <c r="T35" i="4"/>
  <c r="T7" i="4"/>
  <c r="T46" i="4"/>
  <c r="N21" i="4" l="1"/>
  <c r="S7" i="8"/>
  <c r="T53" i="4"/>
  <c r="S6" i="8"/>
  <c r="E64" i="4"/>
  <c r="C64" i="4"/>
  <c r="F64" i="4"/>
  <c r="D64" i="4"/>
  <c r="L13" i="4"/>
  <c r="L54" i="4" s="1"/>
  <c r="N89" i="4" l="1"/>
  <c r="O18" i="4"/>
  <c r="L14" i="4"/>
  <c r="M11" i="4" s="1"/>
  <c r="M51" i="4" s="1"/>
  <c r="L49" i="4"/>
  <c r="K13" i="8" s="1"/>
  <c r="H10" i="9" s="1"/>
  <c r="L55" i="4"/>
  <c r="L59" i="4" s="1"/>
  <c r="L56" i="4"/>
  <c r="L60" i="4" s="1"/>
  <c r="K8" i="8"/>
  <c r="L58" i="4"/>
  <c r="C63" i="4"/>
  <c r="C4" i="2" s="1"/>
  <c r="F63" i="4"/>
  <c r="D63" i="4"/>
  <c r="E63" i="4"/>
  <c r="C5" i="2"/>
  <c r="C65" i="4"/>
  <c r="F65" i="4"/>
  <c r="G22" i="8" s="1"/>
  <c r="D23" i="9" s="1"/>
  <c r="E65" i="4"/>
  <c r="F22" i="8" s="1"/>
  <c r="C23" i="9" s="1"/>
  <c r="D65" i="4"/>
  <c r="M52" i="4" l="1"/>
  <c r="M12" i="4"/>
  <c r="O19" i="4"/>
  <c r="O20" i="4" s="1"/>
  <c r="O88" i="4" s="1"/>
  <c r="O86" i="4"/>
  <c r="O85" i="4"/>
  <c r="O87" i="4"/>
  <c r="N93" i="4"/>
  <c r="M16" i="8" s="1"/>
  <c r="J15" i="9" s="1"/>
  <c r="N92" i="4"/>
  <c r="M15" i="8" s="1"/>
  <c r="J14" i="9" s="1"/>
  <c r="N94" i="4"/>
  <c r="M17" i="8" s="1"/>
  <c r="J16" i="9" s="1"/>
  <c r="E22" i="8"/>
  <c r="B23" i="9" s="1"/>
  <c r="K9" i="8"/>
  <c r="K11" i="8"/>
  <c r="H8" i="9" s="1"/>
  <c r="K12" i="8"/>
  <c r="H9" i="9" s="1"/>
  <c r="K10" i="8"/>
  <c r="M50" i="4"/>
  <c r="M13" i="4"/>
  <c r="M55" i="4" s="1"/>
  <c r="E4" i="2"/>
  <c r="F20" i="8"/>
  <c r="C21" i="9" s="1"/>
  <c r="F5" i="2"/>
  <c r="G21" i="8"/>
  <c r="D22" i="9" s="1"/>
  <c r="D4" i="2"/>
  <c r="E20" i="8"/>
  <c r="B21" i="9" s="1"/>
  <c r="E5" i="2"/>
  <c r="F21" i="8"/>
  <c r="C22" i="9" s="1"/>
  <c r="F4" i="2"/>
  <c r="G20" i="8"/>
  <c r="D21" i="9" s="1"/>
  <c r="D5" i="2"/>
  <c r="E21" i="8"/>
  <c r="B22" i="9" s="1"/>
  <c r="C68" i="4"/>
  <c r="E6" i="2"/>
  <c r="C66" i="4"/>
  <c r="C7" i="2" s="1"/>
  <c r="C6" i="2"/>
  <c r="F6" i="2"/>
  <c r="D6" i="2"/>
  <c r="O21" i="4" l="1"/>
  <c r="O89" i="4" s="1"/>
  <c r="O94" i="4" s="1"/>
  <c r="N17" i="8" s="1"/>
  <c r="K16" i="9" s="1"/>
  <c r="M49" i="4"/>
  <c r="L12" i="8" s="1"/>
  <c r="I9" i="9" s="1"/>
  <c r="M54" i="4"/>
  <c r="M58" i="4" s="1"/>
  <c r="M56" i="4"/>
  <c r="M60" i="4" s="1"/>
  <c r="M14" i="4"/>
  <c r="N11" i="4" s="1"/>
  <c r="N51" i="4" s="1"/>
  <c r="L11" i="8"/>
  <c r="I8" i="9" s="1"/>
  <c r="L9" i="8"/>
  <c r="M59" i="4"/>
  <c r="P18" i="4" l="1"/>
  <c r="L13" i="8"/>
  <c r="I10" i="9" s="1"/>
  <c r="O93" i="4"/>
  <c r="N16" i="8" s="1"/>
  <c r="K15" i="9" s="1"/>
  <c r="O92" i="4"/>
  <c r="N15" i="8" s="1"/>
  <c r="K14" i="9" s="1"/>
  <c r="P85" i="4"/>
  <c r="P87" i="4"/>
  <c r="P86" i="4"/>
  <c r="P19" i="4"/>
  <c r="P20" i="4" s="1"/>
  <c r="P88" i="4" s="1"/>
  <c r="L10" i="8"/>
  <c r="N12" i="4"/>
  <c r="N13" i="4" s="1"/>
  <c r="N54" i="4" s="1"/>
  <c r="N58" i="4" s="1"/>
  <c r="N52" i="4"/>
  <c r="L8" i="8"/>
  <c r="N50" i="4"/>
  <c r="P21" i="4" l="1"/>
  <c r="Q18" i="4" s="1"/>
  <c r="P89" i="4"/>
  <c r="P93" i="4" s="1"/>
  <c r="O16" i="8" s="1"/>
  <c r="L15" i="9" s="1"/>
  <c r="N49" i="4"/>
  <c r="M12" i="8" s="1"/>
  <c r="J9" i="9" s="1"/>
  <c r="N14" i="4"/>
  <c r="O11" i="4" s="1"/>
  <c r="O50" i="4" s="1"/>
  <c r="N55" i="4"/>
  <c r="N59" i="4" s="1"/>
  <c r="N56" i="4"/>
  <c r="M10" i="8" s="1"/>
  <c r="M13" i="8"/>
  <c r="J10" i="9" s="1"/>
  <c r="M8" i="8"/>
  <c r="P92" i="4" l="1"/>
  <c r="O15" i="8" s="1"/>
  <c r="L14" i="9" s="1"/>
  <c r="Q19" i="4"/>
  <c r="Q20" i="4" s="1"/>
  <c r="Q88" i="4" s="1"/>
  <c r="Q85" i="4"/>
  <c r="Q87" i="4"/>
  <c r="Q86" i="4"/>
  <c r="Q21" i="4"/>
  <c r="P94" i="4"/>
  <c r="O17" i="8" s="1"/>
  <c r="L16" i="9" s="1"/>
  <c r="O12" i="4"/>
  <c r="O13" i="4" s="1"/>
  <c r="O54" i="4" s="1"/>
  <c r="O52" i="4"/>
  <c r="O51" i="4"/>
  <c r="N60" i="4"/>
  <c r="M11" i="8"/>
  <c r="J8" i="9" s="1"/>
  <c r="M9" i="8"/>
  <c r="R18" i="4" l="1"/>
  <c r="Q89" i="4"/>
  <c r="Q92" i="4" s="1"/>
  <c r="P15" i="8" s="1"/>
  <c r="M14" i="9" s="1"/>
  <c r="O56" i="4"/>
  <c r="O55" i="4"/>
  <c r="O59" i="4" s="1"/>
  <c r="O14" i="4"/>
  <c r="P11" i="4" s="1"/>
  <c r="P12" i="4" s="1"/>
  <c r="O49" i="4"/>
  <c r="Q94" i="4" l="1"/>
  <c r="P17" i="8" s="1"/>
  <c r="M16" i="9" s="1"/>
  <c r="R87" i="4"/>
  <c r="R85" i="4"/>
  <c r="R19" i="4"/>
  <c r="R20" i="4" s="1"/>
  <c r="R88" i="4" s="1"/>
  <c r="R86" i="4"/>
  <c r="Q93" i="4"/>
  <c r="P16" i="8" s="1"/>
  <c r="M15" i="9" s="1"/>
  <c r="N9" i="8"/>
  <c r="P52" i="4"/>
  <c r="P13" i="4"/>
  <c r="P49" i="4" s="1"/>
  <c r="N8" i="8"/>
  <c r="O58" i="4"/>
  <c r="P51" i="4"/>
  <c r="P50" i="4"/>
  <c r="O11" i="8" s="1"/>
  <c r="L8" i="9" s="1"/>
  <c r="O60" i="4"/>
  <c r="N10" i="8"/>
  <c r="N11" i="8"/>
  <c r="K8" i="9" s="1"/>
  <c r="N12" i="8"/>
  <c r="K9" i="9" s="1"/>
  <c r="N13" i="8"/>
  <c r="K10" i="9" s="1"/>
  <c r="R21" i="4" l="1"/>
  <c r="P54" i="4"/>
  <c r="P58" i="4" s="1"/>
  <c r="P55" i="4"/>
  <c r="P59" i="4" s="1"/>
  <c r="P56" i="4"/>
  <c r="O10" i="8" s="1"/>
  <c r="O13" i="8"/>
  <c r="L10" i="9" s="1"/>
  <c r="O12" i="8"/>
  <c r="L9" i="9" s="1"/>
  <c r="P14" i="4"/>
  <c r="Q11" i="4" s="1"/>
  <c r="Q12" i="4" s="1"/>
  <c r="S18" i="4" l="1"/>
  <c r="R89" i="4"/>
  <c r="Q13" i="4"/>
  <c r="Q49" i="4" s="1"/>
  <c r="Q51" i="4"/>
  <c r="Q52" i="4"/>
  <c r="P60" i="4"/>
  <c r="O9" i="8"/>
  <c r="Q50" i="4"/>
  <c r="O8" i="8"/>
  <c r="S87" i="4" l="1"/>
  <c r="S19" i="4"/>
  <c r="S20" i="4" s="1"/>
  <c r="S88" i="4" s="1"/>
  <c r="S86" i="4"/>
  <c r="S85" i="4"/>
  <c r="R94" i="4"/>
  <c r="Q17" i="8" s="1"/>
  <c r="N16" i="9" s="1"/>
  <c r="R92" i="4"/>
  <c r="Q15" i="8" s="1"/>
  <c r="N14" i="9" s="1"/>
  <c r="R93" i="4"/>
  <c r="Q16" i="8" s="1"/>
  <c r="N15" i="9" s="1"/>
  <c r="P11" i="8"/>
  <c r="M8" i="9" s="1"/>
  <c r="P13" i="8"/>
  <c r="M10" i="9" s="1"/>
  <c r="Q14" i="4"/>
  <c r="R11" i="4" s="1"/>
  <c r="R12" i="4" s="1"/>
  <c r="P12" i="8"/>
  <c r="M9" i="9" s="1"/>
  <c r="Q55" i="4"/>
  <c r="P9" i="8" s="1"/>
  <c r="Q56" i="4"/>
  <c r="P10" i="8" s="1"/>
  <c r="Q54" i="4"/>
  <c r="Q58" i="4" s="1"/>
  <c r="S21" i="4" l="1"/>
  <c r="S89" i="4" s="1"/>
  <c r="S93" i="4" s="1"/>
  <c r="Q59" i="4"/>
  <c r="R52" i="4"/>
  <c r="Q60" i="4"/>
  <c r="R13" i="4"/>
  <c r="R54" i="4" s="1"/>
  <c r="R58" i="4" s="1"/>
  <c r="R50" i="4"/>
  <c r="R51" i="4"/>
  <c r="P8" i="8"/>
  <c r="T18" i="4" l="1"/>
  <c r="R16" i="8"/>
  <c r="O15" i="9" s="1"/>
  <c r="T19" i="4"/>
  <c r="T20" i="4" s="1"/>
  <c r="T88" i="4" s="1"/>
  <c r="T87" i="4"/>
  <c r="T85" i="4"/>
  <c r="T86" i="4"/>
  <c r="S92" i="4"/>
  <c r="S94" i="4"/>
  <c r="R14" i="4"/>
  <c r="S11" i="4" s="1"/>
  <c r="S51" i="4" s="1"/>
  <c r="Q8" i="8"/>
  <c r="R55" i="4"/>
  <c r="R59" i="4" s="1"/>
  <c r="R49" i="4"/>
  <c r="Q12" i="8" s="1"/>
  <c r="N9" i="9" s="1"/>
  <c r="R56" i="4"/>
  <c r="Q10" i="8" s="1"/>
  <c r="T21" i="4" l="1"/>
  <c r="T89" i="4" s="1"/>
  <c r="T94" i="4" s="1"/>
  <c r="R15" i="8"/>
  <c r="O14" i="9" s="1"/>
  <c r="R17" i="8"/>
  <c r="O16" i="9" s="1"/>
  <c r="S12" i="4"/>
  <c r="S13" i="4" s="1"/>
  <c r="S49" i="4" s="1"/>
  <c r="S52" i="4"/>
  <c r="S50" i="4"/>
  <c r="R60" i="4"/>
  <c r="Q13" i="8"/>
  <c r="N10" i="9" s="1"/>
  <c r="Q11" i="8"/>
  <c r="N8" i="9" s="1"/>
  <c r="Q9" i="8"/>
  <c r="T92" i="4" l="1"/>
  <c r="S15" i="8" s="1"/>
  <c r="P14" i="9" s="1"/>
  <c r="T93" i="4"/>
  <c r="S16" i="8" s="1"/>
  <c r="P15" i="9" s="1"/>
  <c r="S17" i="8"/>
  <c r="P16" i="9" s="1"/>
  <c r="C99" i="4"/>
  <c r="C98" i="4"/>
  <c r="R12" i="8"/>
  <c r="O9" i="9" s="1"/>
  <c r="R13" i="8"/>
  <c r="O10" i="9" s="1"/>
  <c r="R11" i="8"/>
  <c r="O8" i="9" s="1"/>
  <c r="S14" i="4"/>
  <c r="T11" i="4" s="1"/>
  <c r="T52" i="4" s="1"/>
  <c r="S55" i="4"/>
  <c r="S59" i="4" s="1"/>
  <c r="S56" i="4"/>
  <c r="S60" i="4" s="1"/>
  <c r="S54" i="4"/>
  <c r="S58" i="4" s="1"/>
  <c r="C97" i="4" l="1"/>
  <c r="R9" i="8"/>
  <c r="R10" i="8"/>
  <c r="T51" i="4"/>
  <c r="T50" i="4"/>
  <c r="T12" i="4"/>
  <c r="T13" i="4" s="1"/>
  <c r="T54" i="4" s="1"/>
  <c r="R8" i="8"/>
  <c r="T55" i="4" l="1"/>
  <c r="T56" i="4"/>
  <c r="T14" i="4"/>
  <c r="C69" i="4" s="1"/>
  <c r="D69" i="4" s="1"/>
  <c r="D66" i="4" s="1"/>
  <c r="D71" i="4"/>
  <c r="D73" i="4" s="1"/>
  <c r="T58" i="4"/>
  <c r="D72" i="4" s="1"/>
  <c r="S8" i="8"/>
  <c r="T49" i="4"/>
  <c r="E69" i="4" l="1"/>
  <c r="F27" i="8" s="1"/>
  <c r="C28" i="9" s="1"/>
  <c r="F69" i="4"/>
  <c r="F68" i="4" s="1"/>
  <c r="E71" i="4"/>
  <c r="E73" i="4" s="1"/>
  <c r="S9" i="8"/>
  <c r="T59" i="4"/>
  <c r="E72" i="4" s="1"/>
  <c r="D68" i="4"/>
  <c r="E27" i="8"/>
  <c r="B28" i="9" s="1"/>
  <c r="S11" i="8"/>
  <c r="P8" i="9" s="1"/>
  <c r="S13" i="8"/>
  <c r="P10" i="9" s="1"/>
  <c r="S12" i="8"/>
  <c r="P9" i="9" s="1"/>
  <c r="E66" i="4"/>
  <c r="F71" i="4"/>
  <c r="F73" i="4" s="1"/>
  <c r="S10" i="8"/>
  <c r="T60" i="4"/>
  <c r="F72" i="4" s="1"/>
  <c r="D76" i="4"/>
  <c r="D8" i="2"/>
  <c r="E24" i="8"/>
  <c r="B25" i="9" s="1"/>
  <c r="E68" i="4" l="1"/>
  <c r="E74" i="4" s="1"/>
  <c r="F66" i="4"/>
  <c r="F7" i="2" s="1"/>
  <c r="G27" i="8"/>
  <c r="D28" i="9" s="1"/>
  <c r="E80" i="4"/>
  <c r="D74" i="4"/>
  <c r="E26" i="8"/>
  <c r="B27" i="9" s="1"/>
  <c r="D80" i="4"/>
  <c r="D9" i="2"/>
  <c r="F76" i="4"/>
  <c r="G24" i="8"/>
  <c r="D25" i="9" s="1"/>
  <c r="F8" i="2"/>
  <c r="F24" i="8"/>
  <c r="C25" i="9" s="1"/>
  <c r="E8" i="2"/>
  <c r="E76" i="4"/>
  <c r="E79" i="4"/>
  <c r="E7" i="2"/>
  <c r="F23" i="8"/>
  <c r="C24" i="9" s="1"/>
  <c r="E23" i="8"/>
  <c r="B24" i="9" s="1"/>
  <c r="D79" i="4"/>
  <c r="D7" i="2"/>
  <c r="F74" i="4"/>
  <c r="G26" i="8"/>
  <c r="D27" i="9" s="1"/>
  <c r="F80" i="4"/>
  <c r="F9" i="2"/>
  <c r="E9" i="2" l="1"/>
  <c r="F26" i="8"/>
  <c r="C27" i="9" s="1"/>
  <c r="G23" i="8"/>
  <c r="D24" i="9" s="1"/>
  <c r="F79" i="4"/>
</calcChain>
</file>

<file path=xl/sharedStrings.xml><?xml version="1.0" encoding="utf-8"?>
<sst xmlns="http://schemas.openxmlformats.org/spreadsheetml/2006/main" count="445" uniqueCount="213">
  <si>
    <t>Project Name</t>
  </si>
  <si>
    <t>Capital Expenditure</t>
  </si>
  <si>
    <t>Total Capital Cost</t>
  </si>
  <si>
    <t>Maintenance</t>
  </si>
  <si>
    <t>Plant hire</t>
  </si>
  <si>
    <t>Total Operating Cost</t>
  </si>
  <si>
    <t>Total Revenue</t>
  </si>
  <si>
    <t>Results</t>
  </si>
  <si>
    <t>Total</t>
  </si>
  <si>
    <t>Capital Expenditure Inflated</t>
  </si>
  <si>
    <t>Operating &amp; Maintenance Cost Inflated</t>
  </si>
  <si>
    <t>Annual Revenue Inflated</t>
  </si>
  <si>
    <t>Net Outcome</t>
  </si>
  <si>
    <t>Base Discount Rate</t>
  </si>
  <si>
    <t>Low Discount Rate (Sensitivity Test)</t>
  </si>
  <si>
    <t>High Discount Rate (Sensitivity Test)</t>
  </si>
  <si>
    <t>Analysis Period (years)</t>
  </si>
  <si>
    <t>Asset Depreciation (Return of Asset)</t>
  </si>
  <si>
    <t xml:space="preserve">Material Flows </t>
  </si>
  <si>
    <t>Units</t>
  </si>
  <si>
    <t>Inputs and Outputs during operational phase</t>
  </si>
  <si>
    <t>Year of operations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</si>
  <si>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</si>
  <si>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</si>
  <si>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</si>
  <si>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</si>
  <si>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</si>
  <si>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</si>
  <si>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</si>
  <si>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</si>
  <si>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</si>
  <si>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</si>
  <si>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</si>
  <si>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</si>
  <si>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Waste inputs</t>
  </si>
  <si>
    <t>tpa</t>
  </si>
  <si>
    <t xml:space="preserve">Other Outputs </t>
  </si>
  <si>
    <t>Year 13</t>
  </si>
  <si>
    <t>Year 14</t>
  </si>
  <si>
    <t>Year 15</t>
  </si>
  <si>
    <t>Name / Description</t>
  </si>
  <si>
    <t>Energy output 1</t>
  </si>
  <si>
    <t>Energy output 2</t>
  </si>
  <si>
    <t>Energy output 3</t>
  </si>
  <si>
    <t>Material flows - operational period</t>
  </si>
  <si>
    <t>% inputs</t>
  </si>
  <si>
    <t>Balance (inputs - outputs - losses - residuals</t>
  </si>
  <si>
    <t>Financial year (ending)</t>
  </si>
  <si>
    <t>Enter the relevant units for energy outputs  (e.g. MWh, litres fuel, Nm3 gas)</t>
  </si>
  <si>
    <r>
      <t xml:space="preserve">Please insert data into the relevant </t>
    </r>
    <r>
      <rPr>
        <b/>
        <sz val="10"/>
        <color theme="7" tint="0.59999389629810485"/>
        <rFont val="Arial"/>
        <family val="2"/>
      </rPr>
      <t>YELLOW</t>
    </r>
    <r>
      <rPr>
        <b/>
        <sz val="10"/>
        <rFont val="Arial"/>
        <family val="2"/>
      </rPr>
      <t xml:space="preserve"> shaded cells only</t>
    </r>
  </si>
  <si>
    <t xml:space="preserve">Financial year </t>
  </si>
  <si>
    <t>New waste stream 1</t>
  </si>
  <si>
    <t>New waste stream 2</t>
  </si>
  <si>
    <t>New waste stream 3</t>
  </si>
  <si>
    <t>New waste stream 4</t>
  </si>
  <si>
    <t>New waste stream 5</t>
  </si>
  <si>
    <t>New waste stream 6</t>
  </si>
  <si>
    <t>Existing total waste inputs</t>
  </si>
  <si>
    <t>Total new waste inputs</t>
  </si>
  <si>
    <t>Diversion performance (existing)</t>
  </si>
  <si>
    <t>For projects which are expanding / improving an existing facility only</t>
  </si>
  <si>
    <t>Material losses (moisture &amp; mass) from new inputs</t>
  </si>
  <si>
    <t xml:space="preserve">Existing residual waste to landfill </t>
  </si>
  <si>
    <t>New residual waste to landfill (total, with project)</t>
  </si>
  <si>
    <t>Overall diversion performance (with project)</t>
  </si>
  <si>
    <t>New waste recovered</t>
  </si>
  <si>
    <t xml:space="preserve"> Should be zero unless there are energy outputs in other incompatible units</t>
  </si>
  <si>
    <t>Project details and notes</t>
  </si>
  <si>
    <r>
      <t xml:space="preserve">Finance assumptions </t>
    </r>
    <r>
      <rPr>
        <sz val="9"/>
        <color theme="1"/>
        <rFont val="Arial"/>
        <family val="2"/>
      </rPr>
      <t>(not to be changed)</t>
    </r>
  </si>
  <si>
    <t>Project Details</t>
  </si>
  <si>
    <t>Date of evaluation</t>
  </si>
  <si>
    <t>Revision</t>
  </si>
  <si>
    <t xml:space="preserve">Project Construction Start Date </t>
  </si>
  <si>
    <t xml:space="preserve">Project Operations Start Date </t>
  </si>
  <si>
    <t>Applicant</t>
  </si>
  <si>
    <t>Inflation (applied to all costs)</t>
  </si>
  <si>
    <t>Year of construction</t>
  </si>
  <si>
    <t>Capital Cost Breakdown</t>
  </si>
  <si>
    <t>$</t>
  </si>
  <si>
    <t>Capital Expenditure (max 3 years)</t>
  </si>
  <si>
    <t>Total Eligible Capital Costs</t>
  </si>
  <si>
    <t>Total Ineligible Capital Costs</t>
  </si>
  <si>
    <t>Total In-kind contributions</t>
  </si>
  <si>
    <t>Ref</t>
  </si>
  <si>
    <t>1.10</t>
  </si>
  <si>
    <t>2.10</t>
  </si>
  <si>
    <t>3.10</t>
  </si>
  <si>
    <t>1 - Eligible Capital Costs</t>
  </si>
  <si>
    <t>2 - Ineligible Capital Costs</t>
  </si>
  <si>
    <t xml:space="preserve">3 - In-kind Contributions to Capital </t>
  </si>
  <si>
    <t>Eligible capital costs</t>
  </si>
  <si>
    <t>Ineligible capital costs</t>
  </si>
  <si>
    <t>Total capital cost</t>
  </si>
  <si>
    <t>Requested Grant Funding (per year)</t>
  </si>
  <si>
    <t>TOTAL</t>
  </si>
  <si>
    <t>Grant funding as % of eligible costs</t>
  </si>
  <si>
    <t>%</t>
  </si>
  <si>
    <t>Grant funding as % of total capital costs</t>
  </si>
  <si>
    <t>Grant $ per tonne recovered (5 year average)</t>
  </si>
  <si>
    <t>$/t</t>
  </si>
  <si>
    <t>In-kind contributions</t>
  </si>
  <si>
    <t>Applicant co-funding (exc in-kind)</t>
  </si>
  <si>
    <t>Staff salaries</t>
  </si>
  <si>
    <t>Management, overheads, administration</t>
  </si>
  <si>
    <t>Landfill disposal costs</t>
  </si>
  <si>
    <t>Diversion of new inputs</t>
  </si>
  <si>
    <t>Average annual new tonnes recovered (first five years)</t>
  </si>
  <si>
    <t>Gate fees</t>
  </si>
  <si>
    <t>If there is other capital expenditure required during the operational life (e.g. capital replacement, refurbishment), it can be added here but will not be eligible for funding</t>
  </si>
  <si>
    <t>Base cost / rate</t>
  </si>
  <si>
    <t>[other - enter details]</t>
  </si>
  <si>
    <t>Transport costs (e.g. products, residuals)</t>
  </si>
  <si>
    <t>Operating &amp; Maintenance Costs</t>
  </si>
  <si>
    <t>Revenues (new)</t>
  </si>
  <si>
    <t>Product sales</t>
  </si>
  <si>
    <t>Enter annual operational costs as positive, nominal values only. Where relevant, link to Material Flows tab (e.g. $ per tonne processed)</t>
  </si>
  <si>
    <t>All costs below are nominal costs, in today's dollar terms (not inflated over time)</t>
  </si>
  <si>
    <t>Enter as positive, nominal values only. Link revenues to waste inputs / product outputs in Material Flows tab as necessary. Direct savings / avoided costs for the applicant may also be included here.</t>
  </si>
  <si>
    <t>Avoided landfill disposal / levy costs</t>
  </si>
  <si>
    <t>Analysis - to be hidden</t>
  </si>
  <si>
    <t>Revenue Inflated</t>
  </si>
  <si>
    <t>O&amp;M Costs Inflated</t>
  </si>
  <si>
    <t>Asset life (years)</t>
  </si>
  <si>
    <t>Return on Asset (base discount rate)</t>
  </si>
  <si>
    <t>Return on Asset (low discount rate)</t>
  </si>
  <si>
    <t>Return on Asset (high discount rate)</t>
  </si>
  <si>
    <t>NPV (base rate)</t>
  </si>
  <si>
    <t>NPV (low)</t>
  </si>
  <si>
    <t>NPV (high)</t>
  </si>
  <si>
    <t>Grant funding (requested)</t>
  </si>
  <si>
    <t>Average annual new tonnes processed (first five years)</t>
  </si>
  <si>
    <t>Recovered Products - Materials</t>
  </si>
  <si>
    <t>Recovered Products - Energy</t>
  </si>
  <si>
    <t>Existing total recovered products</t>
  </si>
  <si>
    <t>New recovered product 1</t>
  </si>
  <si>
    <t>New recovered product 2</t>
  </si>
  <si>
    <t>New recovered product 3</t>
  </si>
  <si>
    <t>New recovered product 4</t>
  </si>
  <si>
    <t>New recovered product 5</t>
  </si>
  <si>
    <t>New recovered product 6</t>
  </si>
  <si>
    <t>Total new recovered material products</t>
  </si>
  <si>
    <t>Existing waste recovered (total)</t>
  </si>
  <si>
    <t xml:space="preserve">Net Outcome with Grant </t>
  </si>
  <si>
    <t>Annualised NPVs</t>
  </si>
  <si>
    <t>Asset Roll Forward</t>
  </si>
  <si>
    <t>Opening</t>
  </si>
  <si>
    <t>Plus inflation</t>
  </si>
  <si>
    <t>Less depreciation</t>
  </si>
  <si>
    <t>Closing</t>
  </si>
  <si>
    <t>Remaining Life (years)</t>
  </si>
  <si>
    <t>Residual Value of Asset</t>
  </si>
  <si>
    <t>Does project require Government grant funding?</t>
  </si>
  <si>
    <t>Total O&amp;M Costs Inflated</t>
  </si>
  <si>
    <t>Grant Funding</t>
  </si>
  <si>
    <t>Required Income (base discount rate)</t>
  </si>
  <si>
    <t>Required Income (low discount rate)</t>
  </si>
  <si>
    <t>Required Income (high discount rate)</t>
  </si>
  <si>
    <t>Proponent Net Commercial Gain/Loss</t>
  </si>
  <si>
    <t>Net Commercial Gain/Loss (base discount rate)</t>
  </si>
  <si>
    <t>Net Commercial Gain/Loss (low discount rate)</t>
  </si>
  <si>
    <t>Net Commercial Gain/Loss (high discount rate)</t>
  </si>
  <si>
    <t>Operating Gain/Loss</t>
  </si>
  <si>
    <t>$/tpa</t>
  </si>
  <si>
    <t>New product revenue per tonne (Material)</t>
  </si>
  <si>
    <t>New processing opex &amp; maint cost per tonne</t>
  </si>
  <si>
    <t xml:space="preserve">Required Income (low discount rate) </t>
  </si>
  <si>
    <t xml:space="preserve">Required Income (high discount rate) </t>
  </si>
  <si>
    <t>Required Income (base discount rate) New Waste Recovered</t>
  </si>
  <si>
    <t>Required Income (low discount rate) New Waste Recovered</t>
  </si>
  <si>
    <t>Required Income (high discount rate) New Waste Recovered</t>
  </si>
  <si>
    <t>Asset Roll Forward - Grant Funding Only</t>
  </si>
  <si>
    <t>Expected Annual Grant Funding Only</t>
  </si>
  <si>
    <t>Opex &amp; Maint</t>
  </si>
  <si>
    <t>Infation</t>
  </si>
  <si>
    <t>Total Annual Required Return (base discount rate)</t>
  </si>
  <si>
    <t>Total Annual Required Return (low discount rate)</t>
  </si>
  <si>
    <t>Total Annual Required Return (high discount rate)</t>
  </si>
  <si>
    <t xml:space="preserve">NPV </t>
  </si>
  <si>
    <t>Grant Funding Only</t>
  </si>
  <si>
    <t>Total New Waste Recovered 15 years</t>
  </si>
  <si>
    <t>Subsidy Required</t>
  </si>
  <si>
    <t>Proponent Required Commercial Income</t>
  </si>
  <si>
    <t>Net Commercial Gain Over/Under Normal Profit (with grant)</t>
  </si>
  <si>
    <t>Expected Annual Outcome</t>
  </si>
  <si>
    <t xml:space="preserve"> </t>
  </si>
  <si>
    <t>Base year for costs (FY ending)</t>
  </si>
  <si>
    <t>Operations start</t>
  </si>
  <si>
    <t>Net Outcome (without grant)</t>
  </si>
  <si>
    <t xml:space="preserve">How many new full-time equivalent (FTE) jobs will be directly supported during the construction phase of the project? </t>
  </si>
  <si>
    <t>Employment Classification</t>
  </si>
  <si>
    <t>Managers</t>
  </si>
  <si>
    <t>Professionals</t>
  </si>
  <si>
    <t>Technicians and Trade Workers</t>
  </si>
  <si>
    <t>Clerical and Administrative Workers</t>
  </si>
  <si>
    <t>Sales Workers</t>
  </si>
  <si>
    <t>Machinery Operators and Drivers</t>
  </si>
  <si>
    <t>Labourers</t>
  </si>
  <si>
    <t xml:space="preserve">Taxable wages include cash and non-cash wages, salaries, allowances, commissions, directors' fees, fringe benefits, salary sacrifice, employer superannuation contributions and eligible termination payments. 
</t>
  </si>
  <si>
    <t xml:space="preserve">3. How many new full-time equivalent (FTE) jobs will be directly supported during the operational phase of the project? </t>
  </si>
  <si>
    <t xml:space="preserve">Number of employees should be cumulatively entered into their individual employment classification. </t>
  </si>
  <si>
    <t xml:space="preserve">4. What are the average taxable wages ($ p.a.) for each new FTE operational employee? </t>
  </si>
  <si>
    <t>New Employment Breakdown</t>
  </si>
  <si>
    <r>
      <t xml:space="preserve">Please insert data into the relevant </t>
    </r>
    <r>
      <rPr>
        <b/>
        <sz val="9"/>
        <color theme="7" tint="0.59999389629810485"/>
        <rFont val="Arial"/>
        <family val="2"/>
      </rPr>
      <t>YELLOW</t>
    </r>
    <r>
      <rPr>
        <b/>
        <sz val="9"/>
        <rFont val="Arial"/>
        <family val="2"/>
      </rPr>
      <t xml:space="preserve"> shaded cells only</t>
    </r>
  </si>
  <si>
    <r>
      <t>What are the average taxable wages ($ p.a.) for each new FTE</t>
    </r>
    <r>
      <rPr>
        <b/>
        <sz val="9"/>
        <color theme="1"/>
        <rFont val="Arial"/>
        <family val="2"/>
      </rPr>
      <t xml:space="preserve"> construction employee? </t>
    </r>
  </si>
  <si>
    <t>[link to New Employment tab as needed]</t>
  </si>
  <si>
    <t>What proportion of new construction phase FTE are employees of the applicant or its partners (as opposed to contractors)</t>
  </si>
  <si>
    <t>Average taxable wages should be the average of all individual wages in a given employment classification category.  If the average wage is expected to change during construction, provide annual figures in the data cells for the relevant year.</t>
  </si>
  <si>
    <t>Average taxable wages should be the average of all individual wages in a given employment classification category.  If the average wage is expected to change during operations, provide the annual figures in the data cells for the relevant year</t>
  </si>
  <si>
    <t>The proponent should provide minimum five years worth of data in the tables below. If no data is provided beyond Year 5, a nominal increase on Year 5 average taxable wages will be assumed</t>
  </si>
  <si>
    <t>Construction jobs</t>
  </si>
  <si>
    <t>Operational jobs</t>
  </si>
  <si>
    <t>Year of construction (pre-operations)</t>
  </si>
  <si>
    <t>Stream One will fund eligible costs up to 50% of total eligible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</si>
</sst>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"/>
    <numFmt numFmtId="165" formatCode="0.0%"/>
    <numFmt numFmtId="166" formatCode="&quot;$&quot;#,##0.00"/>
    <numFmt numFmtId="167" formatCode="_-* #,##0_-;\-* #,##0_-;_-* &quot;-&quot;??_-;_-@_-"/>
    <numFmt numFmtId="168" formatCode="#,##0.0"/>
    <numFmt numFmtId="169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b/>
      <sz val="18"/>
      <color theme="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i/>
      <sz val="9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FFFFFF"/>
      <name val="Arial"/>
      <family val="2"/>
    </font>
    <font>
      <b/>
      <sz val="10"/>
      <color theme="7" tint="0.59999389629810485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theme="7" tint="0.59999389629810485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A9E4"/>
        <bgColor indexed="64"/>
      </patternFill>
    </fill>
    <fill>
      <patternFill patternType="solid">
        <fgColor rgb="FF55575A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rgb="FF55575A"/>
      </bottom>
      <diagonal/>
    </border>
    <border>
      <left style="thick">
        <color rgb="FFFFFFFF"/>
      </left>
      <right/>
      <top/>
      <bottom/>
      <diagonal/>
    </border>
    <border>
      <left/>
      <right/>
      <top style="medium">
        <color rgb="FF55575A"/>
      </top>
      <bottom style="thin">
        <color rgb="FF55575A"/>
      </bottom>
      <diagonal/>
    </border>
    <border>
      <left/>
      <right/>
      <top style="thin">
        <color rgb="FF55575A"/>
      </top>
      <bottom style="thin">
        <color rgb="FF55575A"/>
      </bottom>
      <diagonal/>
    </border>
    <border>
      <left/>
      <right/>
      <top style="thin">
        <color rgb="FF55575A"/>
      </top>
      <bottom style="medium">
        <color rgb="FF55575A"/>
      </bottom>
      <diagonal/>
    </border>
    <border>
      <left/>
      <right/>
      <top/>
      <bottom style="thin">
        <color rgb="FF55575A"/>
      </bottom>
      <diagonal/>
    </border>
    <border>
      <left/>
      <right/>
      <top style="thin">
        <color rgb="FF55575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55575A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rgb="FF55575A"/>
      </top>
      <bottom style="thin">
        <color rgb="FF55575A"/>
      </bottom>
      <diagonal/>
    </border>
    <border>
      <left style="thin">
        <color auto="1"/>
      </left>
      <right style="thin">
        <color auto="1"/>
      </right>
      <top style="thin">
        <color rgb="FF55575A"/>
      </top>
      <bottom style="medium">
        <color indexed="64"/>
      </bottom>
      <diagonal/>
    </border>
    <border>
      <left style="medium">
        <color indexed="64"/>
      </left>
      <right/>
      <top style="thin">
        <color rgb="FF55575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55575A"/>
      </top>
      <bottom style="thin">
        <color indexed="64"/>
      </bottom>
      <diagonal/>
    </border>
    <border>
      <left/>
      <right/>
      <top style="medium">
        <color rgb="FF55575A"/>
      </top>
      <bottom style="thin">
        <color indexed="64"/>
      </bottom>
      <diagonal/>
    </border>
    <border>
      <left/>
      <right style="thin">
        <color indexed="64"/>
      </right>
      <top style="medium">
        <color rgb="FF55575A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55575A"/>
      </left>
      <right style="thin">
        <color rgb="FF55575A"/>
      </right>
      <top style="thin">
        <color rgb="FF55575A"/>
      </top>
      <bottom style="medium">
        <color rgb="FF55575A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3" fillId="3" borderId="0" xfId="3" applyFill="1"/>
    <xf numFmtId="0" fontId="3" fillId="3" borderId="1" xfId="3" applyFill="1" applyBorder="1" applyAlignment="1">
      <alignment wrapText="1"/>
    </xf>
    <xf numFmtId="6" fontId="3" fillId="3" borderId="1" xfId="3" applyNumberFormat="1" applyFill="1" applyBorder="1" applyAlignment="1">
      <alignment horizontal="right" vertical="top" wrapText="1"/>
    </xf>
    <xf numFmtId="6" fontId="7" fillId="4" borderId="1" xfId="3" applyNumberFormat="1" applyFont="1" applyFill="1" applyBorder="1" applyAlignment="1">
      <alignment horizontal="right" vertical="top" wrapText="1"/>
    </xf>
    <xf numFmtId="6" fontId="7" fillId="3" borderId="1" xfId="3" applyNumberFormat="1" applyFont="1" applyFill="1" applyBorder="1" applyAlignment="1">
      <alignment horizontal="right" vertical="top" wrapText="1"/>
    </xf>
    <xf numFmtId="6" fontId="3" fillId="4" borderId="1" xfId="3" applyNumberFormat="1" applyFill="1" applyBorder="1" applyAlignment="1">
      <alignment horizontal="right" vertical="top" wrapText="1"/>
    </xf>
    <xf numFmtId="0" fontId="11" fillId="7" borderId="4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vertical="center" wrapText="1"/>
    </xf>
    <xf numFmtId="0" fontId="10" fillId="0" borderId="0" xfId="0" applyFont="1"/>
    <xf numFmtId="0" fontId="9" fillId="0" borderId="8" xfId="0" applyFont="1" applyBorder="1" applyAlignment="1">
      <alignment vertical="center" wrapText="1"/>
    </xf>
    <xf numFmtId="0" fontId="14" fillId="9" borderId="8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vertical="center" wrapText="1"/>
    </xf>
    <xf numFmtId="0" fontId="2" fillId="0" borderId="0" xfId="0" applyFont="1"/>
    <xf numFmtId="0" fontId="9" fillId="6" borderId="8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9" fillId="9" borderId="8" xfId="0" applyFont="1" applyFill="1" applyBorder="1" applyAlignment="1">
      <alignment horizontal="left" vertical="center" wrapText="1"/>
    </xf>
    <xf numFmtId="0" fontId="20" fillId="0" borderId="0" xfId="0" applyFont="1"/>
    <xf numFmtId="0" fontId="21" fillId="8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23" fillId="0" borderId="0" xfId="0" applyFont="1"/>
    <xf numFmtId="3" fontId="0" fillId="0" borderId="0" xfId="0" applyNumberFormat="1" applyAlignment="1">
      <alignment horizontal="center"/>
    </xf>
    <xf numFmtId="3" fontId="11" fillId="8" borderId="5" xfId="0" applyNumberFormat="1" applyFont="1" applyFill="1" applyBorder="1" applyAlignment="1">
      <alignment horizontal="center" vertical="center" wrapText="1"/>
    </xf>
    <xf numFmtId="0" fontId="21" fillId="8" borderId="5" xfId="0" applyNumberFormat="1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 wrapText="1"/>
    </xf>
    <xf numFmtId="3" fontId="12" fillId="10" borderId="9" xfId="0" applyNumberFormat="1" applyFont="1" applyFill="1" applyBorder="1" applyAlignment="1">
      <alignment horizontal="center" vertical="center" wrapText="1"/>
    </xf>
    <xf numFmtId="3" fontId="9" fillId="6" borderId="11" xfId="0" applyNumberFormat="1" applyFont="1" applyFill="1" applyBorder="1" applyAlignment="1">
      <alignment horizontal="center" vertical="center" wrapText="1"/>
    </xf>
    <xf numFmtId="3" fontId="9" fillId="6" borderId="9" xfId="0" applyNumberFormat="1" applyFont="1" applyFill="1" applyBorder="1" applyAlignment="1">
      <alignment horizontal="center" vertical="center" wrapText="1"/>
    </xf>
    <xf numFmtId="165" fontId="9" fillId="9" borderId="8" xfId="0" applyNumberFormat="1" applyFont="1" applyFill="1" applyBorder="1" applyAlignment="1">
      <alignment horizontal="center" vertical="center" wrapText="1"/>
    </xf>
    <xf numFmtId="3" fontId="9" fillId="9" borderId="10" xfId="0" applyNumberFormat="1" applyFont="1" applyFill="1" applyBorder="1" applyAlignment="1">
      <alignment horizontal="center" vertical="center" wrapText="1"/>
    </xf>
    <xf numFmtId="3" fontId="9" fillId="11" borderId="8" xfId="0" applyNumberFormat="1" applyFont="1" applyFill="1" applyBorder="1" applyAlignment="1">
      <alignment horizontal="center" vertical="center" wrapText="1"/>
    </xf>
    <xf numFmtId="3" fontId="9" fillId="12" borderId="8" xfId="0" applyNumberFormat="1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vertical="center" wrapText="1"/>
    </xf>
    <xf numFmtId="3" fontId="9" fillId="11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20" fillId="0" borderId="0" xfId="0" applyFont="1" applyAlignment="1">
      <alignment horizontal="left" wrapText="1" indent="1"/>
    </xf>
    <xf numFmtId="0" fontId="17" fillId="0" borderId="0" xfId="0" applyFont="1" applyAlignment="1">
      <alignment horizontal="left" wrapText="1" indent="1"/>
    </xf>
    <xf numFmtId="0" fontId="19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wrapText="1" indent="1"/>
    </xf>
    <xf numFmtId="165" fontId="9" fillId="9" borderId="11" xfId="0" applyNumberFormat="1" applyFont="1" applyFill="1" applyBorder="1" applyAlignment="1">
      <alignment horizontal="center" vertical="center" wrapText="1"/>
    </xf>
    <xf numFmtId="3" fontId="12" fillId="11" borderId="12" xfId="0" applyNumberFormat="1" applyFont="1" applyFill="1" applyBorder="1" applyAlignment="1">
      <alignment horizontal="center" vertical="center" wrapText="1"/>
    </xf>
    <xf numFmtId="3" fontId="13" fillId="7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 wrapText="1" indent="1"/>
    </xf>
    <xf numFmtId="0" fontId="10" fillId="0" borderId="0" xfId="0" applyFont="1" applyAlignment="1">
      <alignment horizontal="left"/>
    </xf>
    <xf numFmtId="3" fontId="9" fillId="0" borderId="0" xfId="0" applyNumberFormat="1" applyFont="1" applyAlignment="1">
      <alignment horizontal="center"/>
    </xf>
    <xf numFmtId="9" fontId="24" fillId="11" borderId="1" xfId="3" applyNumberFormat="1" applyFont="1" applyFill="1" applyBorder="1" applyAlignment="1">
      <alignment horizontal="center" wrapText="1"/>
    </xf>
    <xf numFmtId="0" fontId="24" fillId="11" borderId="1" xfId="3" applyFont="1" applyFill="1" applyBorder="1" applyAlignment="1">
      <alignment horizontal="center" wrapText="1"/>
    </xf>
    <xf numFmtId="10" fontId="24" fillId="11" borderId="1" xfId="3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3" xfId="0" applyFont="1" applyBorder="1" applyAlignment="1">
      <alignment vertical="center" wrapText="1"/>
    </xf>
    <xf numFmtId="14" fontId="24" fillId="6" borderId="1" xfId="3" applyNumberFormat="1" applyFont="1" applyFill="1" applyBorder="1" applyAlignment="1">
      <alignment horizontal="center" wrapText="1"/>
    </xf>
    <xf numFmtId="14" fontId="24" fillId="6" borderId="14" xfId="3" applyNumberFormat="1" applyFont="1" applyFill="1" applyBorder="1" applyAlignment="1">
      <alignment horizontal="center" wrapText="1"/>
    </xf>
    <xf numFmtId="0" fontId="24" fillId="6" borderId="1" xfId="3" applyNumberFormat="1" applyFont="1" applyFill="1" applyBorder="1" applyAlignment="1">
      <alignment horizontal="center" wrapText="1"/>
    </xf>
    <xf numFmtId="49" fontId="24" fillId="6" borderId="1" xfId="3" applyNumberFormat="1" applyFont="1" applyFill="1" applyBorder="1" applyAlignment="1">
      <alignment horizontal="center" wrapText="1"/>
    </xf>
    <xf numFmtId="0" fontId="9" fillId="9" borderId="16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left" vertical="center" wrapText="1"/>
    </xf>
    <xf numFmtId="0" fontId="9" fillId="11" borderId="1" xfId="0" applyNumberFormat="1" applyFont="1" applyFill="1" applyBorder="1" applyAlignment="1">
      <alignment horizontal="center"/>
    </xf>
    <xf numFmtId="0" fontId="9" fillId="11" borderId="14" xfId="0" applyNumberFormat="1" applyFont="1" applyFill="1" applyBorder="1" applyAlignment="1">
      <alignment horizontal="center"/>
    </xf>
    <xf numFmtId="0" fontId="9" fillId="11" borderId="8" xfId="0" applyFont="1" applyFill="1" applyBorder="1" applyAlignment="1">
      <alignment vertical="center" wrapText="1"/>
    </xf>
    <xf numFmtId="0" fontId="12" fillId="11" borderId="9" xfId="0" applyFont="1" applyFill="1" applyBorder="1" applyAlignment="1">
      <alignment vertical="center" wrapText="1"/>
    </xf>
    <xf numFmtId="0" fontId="24" fillId="6" borderId="8" xfId="0" applyFont="1" applyFill="1" applyBorder="1" applyAlignment="1">
      <alignment vertical="center" wrapText="1"/>
    </xf>
    <xf numFmtId="0" fontId="24" fillId="6" borderId="11" xfId="0" applyFont="1" applyFill="1" applyBorder="1" applyAlignment="1">
      <alignment vertical="center" wrapText="1"/>
    </xf>
    <xf numFmtId="0" fontId="24" fillId="6" borderId="9" xfId="0" applyFont="1" applyFill="1" applyBorder="1" applyAlignment="1">
      <alignment vertical="center" wrapText="1"/>
    </xf>
    <xf numFmtId="49" fontId="14" fillId="9" borderId="8" xfId="0" applyNumberFormat="1" applyFont="1" applyFill="1" applyBorder="1" applyAlignment="1">
      <alignment vertical="center" wrapText="1"/>
    </xf>
    <xf numFmtId="0" fontId="18" fillId="9" borderId="0" xfId="0" applyFont="1" applyFill="1" applyBorder="1" applyAlignment="1">
      <alignment horizontal="center" vertical="center" wrapText="1"/>
    </xf>
    <xf numFmtId="3" fontId="12" fillId="11" borderId="9" xfId="0" applyNumberFormat="1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9" fontId="9" fillId="9" borderId="12" xfId="2" applyFont="1" applyFill="1" applyBorder="1" applyAlignment="1">
      <alignment horizontal="center" vertical="center" wrapText="1"/>
    </xf>
    <xf numFmtId="166" fontId="9" fillId="9" borderId="12" xfId="2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left"/>
    </xf>
    <xf numFmtId="0" fontId="14" fillId="0" borderId="0" xfId="0" applyFont="1"/>
    <xf numFmtId="3" fontId="9" fillId="11" borderId="11" xfId="0" applyNumberFormat="1" applyFont="1" applyFill="1" applyBorder="1" applyAlignment="1">
      <alignment horizontal="center" vertical="center" wrapText="1"/>
    </xf>
    <xf numFmtId="6" fontId="24" fillId="11" borderId="2" xfId="1" applyNumberFormat="1" applyFont="1" applyFill="1" applyBorder="1" applyAlignment="1" applyProtection="1">
      <alignment horizontal="right" vertical="center" wrapText="1"/>
      <protection locked="0"/>
    </xf>
    <xf numFmtId="6" fontId="24" fillId="6" borderId="2" xfId="1" applyNumberFormat="1" applyFont="1" applyFill="1" applyBorder="1" applyAlignment="1" applyProtection="1">
      <alignment horizontal="right" vertical="center" wrapText="1"/>
      <protection locked="0"/>
    </xf>
    <xf numFmtId="0" fontId="25" fillId="13" borderId="0" xfId="0" applyFont="1" applyFill="1" applyBorder="1" applyAlignment="1">
      <alignment vertical="center" wrapText="1"/>
    </xf>
    <xf numFmtId="0" fontId="25" fillId="5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6" fontId="12" fillId="4" borderId="1" xfId="1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25" fillId="13" borderId="3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14" borderId="8" xfId="0" applyFont="1" applyFill="1" applyBorder="1" applyAlignment="1">
      <alignment vertical="center" wrapText="1"/>
    </xf>
    <xf numFmtId="0" fontId="9" fillId="14" borderId="11" xfId="0" applyFont="1" applyFill="1" applyBorder="1" applyAlignment="1">
      <alignment vertical="center" wrapText="1"/>
    </xf>
    <xf numFmtId="0" fontId="9" fillId="14" borderId="9" xfId="0" applyFont="1" applyFill="1" applyBorder="1" applyAlignment="1">
      <alignment vertical="center" wrapText="1"/>
    </xf>
    <xf numFmtId="0" fontId="9" fillId="14" borderId="1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64" fontId="5" fillId="13" borderId="0" xfId="3" applyNumberFormat="1" applyFont="1" applyFill="1" applyAlignment="1">
      <alignment horizontal="center" wrapText="1"/>
    </xf>
    <xf numFmtId="0" fontId="8" fillId="13" borderId="0" xfId="3" applyFont="1" applyFill="1" applyAlignment="1">
      <alignment vertical="top"/>
    </xf>
    <xf numFmtId="0" fontId="4" fillId="13" borderId="1" xfId="3" applyFont="1" applyFill="1" applyBorder="1" applyAlignment="1">
      <alignment wrapText="1"/>
    </xf>
    <xf numFmtId="0" fontId="4" fillId="13" borderId="1" xfId="3" applyFont="1" applyFill="1" applyBorder="1" applyAlignment="1">
      <alignment vertical="top" wrapText="1"/>
    </xf>
    <xf numFmtId="0" fontId="10" fillId="3" borderId="0" xfId="3" applyFont="1" applyFill="1" applyAlignment="1">
      <alignment wrapText="1"/>
    </xf>
    <xf numFmtId="0" fontId="10" fillId="3" borderId="0" xfId="3" applyFont="1" applyFill="1" applyAlignment="1">
      <alignment horizontal="right" vertical="top" wrapText="1"/>
    </xf>
    <xf numFmtId="0" fontId="9" fillId="3" borderId="0" xfId="3" applyFont="1" applyFill="1" applyAlignment="1">
      <alignment wrapText="1"/>
    </xf>
    <xf numFmtId="0" fontId="9" fillId="3" borderId="0" xfId="3" applyFont="1" applyFill="1" applyAlignment="1">
      <alignment horizontal="right" vertical="top" wrapText="1"/>
    </xf>
    <xf numFmtId="0" fontId="9" fillId="3" borderId="0" xfId="3" applyFont="1" applyFill="1" applyBorder="1" applyAlignment="1">
      <alignment wrapText="1"/>
    </xf>
    <xf numFmtId="0" fontId="9" fillId="3" borderId="0" xfId="3" applyFont="1" applyFill="1" applyBorder="1" applyAlignment="1">
      <alignment horizontal="left" vertical="top" wrapText="1"/>
    </xf>
    <xf numFmtId="0" fontId="12" fillId="3" borderId="0" xfId="3" applyFont="1" applyFill="1" applyBorder="1" applyAlignment="1">
      <alignment horizontal="right" vertical="top" wrapText="1"/>
    </xf>
    <xf numFmtId="0" fontId="12" fillId="4" borderId="1" xfId="3" applyFont="1" applyFill="1" applyBorder="1" applyAlignment="1">
      <alignment vertical="top" wrapText="1"/>
    </xf>
    <xf numFmtId="6" fontId="12" fillId="4" borderId="1" xfId="4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vertical="top" wrapText="1"/>
    </xf>
    <xf numFmtId="6" fontId="24" fillId="3" borderId="2" xfId="4" applyNumberFormat="1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>
      <alignment vertical="top" wrapText="1"/>
    </xf>
    <xf numFmtId="6" fontId="9" fillId="4" borderId="1" xfId="4" applyNumberFormat="1" applyFont="1" applyFill="1" applyBorder="1" applyAlignment="1">
      <alignment horizontal="right" vertical="top" wrapText="1"/>
    </xf>
    <xf numFmtId="0" fontId="9" fillId="3" borderId="1" xfId="3" applyFont="1" applyFill="1" applyBorder="1" applyAlignment="1">
      <alignment wrapText="1"/>
    </xf>
    <xf numFmtId="164" fontId="25" fillId="13" borderId="0" xfId="3" applyNumberFormat="1" applyFont="1" applyFill="1" applyAlignment="1">
      <alignment horizontal="center" wrapText="1"/>
    </xf>
    <xf numFmtId="6" fontId="9" fillId="3" borderId="0" xfId="3" applyNumberFormat="1" applyFont="1" applyFill="1" applyAlignment="1">
      <alignment horizontal="right" vertical="top" wrapText="1"/>
    </xf>
    <xf numFmtId="0" fontId="25" fillId="13" borderId="1" xfId="3" applyFont="1" applyFill="1" applyBorder="1" applyAlignment="1">
      <alignment wrapText="1"/>
    </xf>
    <xf numFmtId="6" fontId="9" fillId="3" borderId="1" xfId="3" applyNumberFormat="1" applyFont="1" applyFill="1" applyBorder="1" applyAlignment="1">
      <alignment horizontal="right" vertical="top" wrapText="1"/>
    </xf>
    <xf numFmtId="0" fontId="25" fillId="13" borderId="1" xfId="3" applyFont="1" applyFill="1" applyBorder="1" applyAlignment="1">
      <alignment vertical="top" wrapText="1"/>
    </xf>
    <xf numFmtId="6" fontId="12" fillId="5" borderId="1" xfId="3" applyNumberFormat="1" applyFont="1" applyFill="1" applyBorder="1" applyAlignment="1">
      <alignment horizontal="right" vertical="top" wrapText="1"/>
    </xf>
    <xf numFmtId="6" fontId="12" fillId="3" borderId="1" xfId="3" applyNumberFormat="1" applyFont="1" applyFill="1" applyBorder="1" applyAlignment="1">
      <alignment horizontal="right" vertical="top" wrapText="1"/>
    </xf>
    <xf numFmtId="6" fontId="9" fillId="5" borderId="1" xfId="3" applyNumberFormat="1" applyFont="1" applyFill="1" applyBorder="1" applyAlignment="1">
      <alignment horizontal="right" vertical="top" wrapText="1"/>
    </xf>
    <xf numFmtId="0" fontId="9" fillId="0" borderId="1" xfId="3" applyFont="1" applyFill="1" applyBorder="1" applyAlignment="1">
      <alignment vertical="top" wrapText="1"/>
    </xf>
    <xf numFmtId="6" fontId="24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3" applyFont="1" applyFill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5" fillId="1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6" fontId="12" fillId="3" borderId="0" xfId="1" applyNumberFormat="1" applyFont="1" applyFill="1" applyBorder="1" applyAlignment="1">
      <alignment horizontal="right" vertical="center" wrapText="1"/>
    </xf>
    <xf numFmtId="6" fontId="24" fillId="4" borderId="2" xfId="1" applyNumberFormat="1" applyFont="1" applyFill="1" applyBorder="1" applyAlignment="1" applyProtection="1">
      <alignment horizontal="right" vertical="center" wrapText="1"/>
      <protection locked="0"/>
    </xf>
    <xf numFmtId="167" fontId="24" fillId="0" borderId="2" xfId="5" applyNumberFormat="1" applyFont="1" applyFill="1" applyBorder="1" applyAlignment="1" applyProtection="1">
      <alignment horizontal="right" vertical="center" wrapText="1"/>
      <protection locked="0"/>
    </xf>
    <xf numFmtId="167" fontId="24" fillId="0" borderId="2" xfId="1" applyNumberFormat="1" applyFont="1" applyFill="1" applyBorder="1" applyAlignment="1" applyProtection="1">
      <alignment horizontal="right" vertical="center" wrapText="1"/>
      <protection locked="0"/>
    </xf>
    <xf numFmtId="6" fontId="24" fillId="4" borderId="2" xfId="4" applyNumberFormat="1" applyFont="1" applyFill="1" applyBorder="1" applyAlignment="1" applyProtection="1">
      <alignment horizontal="right" vertical="center" wrapText="1"/>
    </xf>
    <xf numFmtId="0" fontId="28" fillId="3" borderId="0" xfId="3" applyFont="1" applyFill="1" applyAlignment="1">
      <alignment wrapText="1"/>
    </xf>
    <xf numFmtId="6" fontId="24" fillId="10" borderId="2" xfId="1" applyNumberFormat="1" applyFont="1" applyFill="1" applyBorder="1" applyAlignment="1" applyProtection="1">
      <alignment horizontal="right" vertical="center" wrapText="1"/>
      <protection locked="0"/>
    </xf>
    <xf numFmtId="6" fontId="12" fillId="10" borderId="1" xfId="4" applyNumberFormat="1" applyFont="1" applyFill="1" applyBorder="1" applyAlignment="1">
      <alignment horizontal="right" vertical="top" wrapText="1"/>
    </xf>
    <xf numFmtId="0" fontId="9" fillId="9" borderId="8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14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44" fontId="9" fillId="15" borderId="8" xfId="1" applyFont="1" applyFill="1" applyBorder="1" applyAlignment="1">
      <alignment horizontal="center" vertical="center" wrapText="1"/>
    </xf>
    <xf numFmtId="44" fontId="9" fillId="15" borderId="11" xfId="1" applyFont="1" applyFill="1" applyBorder="1" applyAlignment="1">
      <alignment horizontal="center" vertical="center" wrapText="1"/>
    </xf>
    <xf numFmtId="44" fontId="9" fillId="15" borderId="9" xfId="1" applyFont="1" applyFill="1" applyBorder="1" applyAlignment="1">
      <alignment horizontal="center" vertical="center" wrapText="1"/>
    </xf>
    <xf numFmtId="6" fontId="26" fillId="16" borderId="2" xfId="4" applyNumberFormat="1" applyFont="1" applyFill="1" applyBorder="1" applyAlignment="1" applyProtection="1">
      <alignment horizontal="right" vertical="center" wrapText="1"/>
    </xf>
    <xf numFmtId="6" fontId="10" fillId="3" borderId="1" xfId="3" applyNumberFormat="1" applyFont="1" applyFill="1" applyBorder="1" applyAlignment="1">
      <alignment horizontal="right" vertical="top" wrapText="1"/>
    </xf>
    <xf numFmtId="0" fontId="14" fillId="16" borderId="8" xfId="0" applyFont="1" applyFill="1" applyBorder="1" applyAlignment="1">
      <alignment vertical="center" wrapText="1"/>
    </xf>
    <xf numFmtId="44" fontId="9" fillId="16" borderId="9" xfId="1" applyFont="1" applyFill="1" applyBorder="1" applyAlignment="1">
      <alignment horizontal="center" vertical="center" wrapText="1"/>
    </xf>
    <xf numFmtId="0" fontId="29" fillId="16" borderId="8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14" fillId="4" borderId="1" xfId="0" applyFont="1" applyFill="1" applyBorder="1" applyAlignment="1">
      <alignment vertical="center" wrapText="1"/>
    </xf>
    <xf numFmtId="44" fontId="9" fillId="15" borderId="1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14" fillId="4" borderId="0" xfId="0" applyFont="1" applyFill="1" applyBorder="1" applyAlignment="1">
      <alignment vertical="center" wrapText="1"/>
    </xf>
    <xf numFmtId="44" fontId="9" fillId="15" borderId="0" xfId="1" applyFont="1" applyFill="1" applyBorder="1" applyAlignment="1">
      <alignment horizontal="center" vertical="center" wrapText="1"/>
    </xf>
    <xf numFmtId="3" fontId="30" fillId="17" borderId="0" xfId="0" applyNumberFormat="1" applyFont="1" applyFill="1" applyAlignment="1">
      <alignment horizontal="left"/>
    </xf>
    <xf numFmtId="0" fontId="27" fillId="3" borderId="0" xfId="3" applyFont="1" applyFill="1" applyAlignment="1">
      <alignment wrapText="1"/>
    </xf>
    <xf numFmtId="0" fontId="27" fillId="0" borderId="0" xfId="3" applyFont="1" applyFill="1" applyAlignment="1">
      <alignment horizontal="right" vertical="top" wrapText="1"/>
    </xf>
    <xf numFmtId="3" fontId="30" fillId="0" borderId="0" xfId="0" applyNumberFormat="1" applyFont="1" applyFill="1" applyAlignment="1">
      <alignment horizontal="left"/>
    </xf>
    <xf numFmtId="0" fontId="31" fillId="0" borderId="0" xfId="0" applyFont="1" applyAlignment="1">
      <alignment horizontal="left"/>
    </xf>
    <xf numFmtId="0" fontId="9" fillId="0" borderId="0" xfId="0" applyFont="1" applyAlignment="1">
      <alignment horizontal="left" wrapText="1" indent="1"/>
    </xf>
    <xf numFmtId="0" fontId="26" fillId="2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168" fontId="26" fillId="6" borderId="1" xfId="0" applyNumberFormat="1" applyFont="1" applyFill="1" applyBorder="1" applyAlignment="1">
      <alignment horizontal="left" vertical="center"/>
    </xf>
    <xf numFmtId="168" fontId="24" fillId="6" borderId="1" xfId="0" applyNumberFormat="1" applyFont="1" applyFill="1" applyBorder="1" applyAlignment="1">
      <alignment horizontal="center" vertical="center"/>
    </xf>
    <xf numFmtId="49" fontId="14" fillId="9" borderId="11" xfId="0" applyNumberFormat="1" applyFont="1" applyFill="1" applyBorder="1" applyAlignment="1">
      <alignment vertical="center" wrapText="1"/>
    </xf>
    <xf numFmtId="168" fontId="24" fillId="6" borderId="2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 wrapText="1"/>
    </xf>
    <xf numFmtId="3" fontId="12" fillId="10" borderId="28" xfId="0" applyNumberFormat="1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33" fillId="18" borderId="25" xfId="0" applyFont="1" applyFill="1" applyBorder="1" applyAlignment="1">
      <alignment vertical="center" wrapText="1"/>
    </xf>
    <xf numFmtId="0" fontId="33" fillId="18" borderId="24" xfId="0" applyFont="1" applyFill="1" applyBorder="1" applyAlignment="1">
      <alignment vertical="center"/>
    </xf>
    <xf numFmtId="0" fontId="33" fillId="18" borderId="25" xfId="0" applyFont="1" applyFill="1" applyBorder="1" applyAlignment="1">
      <alignment vertical="center"/>
    </xf>
    <xf numFmtId="9" fontId="24" fillId="6" borderId="12" xfId="2" applyFont="1" applyFill="1" applyBorder="1" applyAlignment="1">
      <alignment horizontal="center" vertical="center"/>
    </xf>
    <xf numFmtId="169" fontId="24" fillId="6" borderId="1" xfId="0" applyNumberFormat="1" applyFont="1" applyFill="1" applyBorder="1" applyAlignment="1">
      <alignment horizontal="center" vertical="center"/>
    </xf>
    <xf numFmtId="6" fontId="24" fillId="6" borderId="2" xfId="1" applyNumberFormat="1" applyFont="1" applyFill="1" applyBorder="1" applyAlignment="1" applyProtection="1">
      <alignment horizontal="left" vertical="center" wrapText="1"/>
      <protection locked="0"/>
    </xf>
    <xf numFmtId="6" fontId="34" fillId="6" borderId="2" xfId="1" applyNumberFormat="1" applyFont="1" applyFill="1" applyBorder="1" applyAlignment="1" applyProtection="1">
      <alignment horizontal="left" vertical="center" wrapText="1"/>
      <protection locked="0"/>
    </xf>
    <xf numFmtId="6" fontId="24" fillId="11" borderId="2" xfId="1" applyNumberFormat="1" applyFont="1" applyFill="1" applyBorder="1" applyAlignment="1" applyProtection="1">
      <alignment horizontal="left" vertical="center" wrapText="1"/>
      <protection locked="0"/>
    </xf>
    <xf numFmtId="0" fontId="25" fillId="13" borderId="19" xfId="0" applyFont="1" applyFill="1" applyBorder="1" applyAlignment="1">
      <alignment vertical="center" wrapText="1"/>
    </xf>
    <xf numFmtId="0" fontId="25" fillId="13" borderId="2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5" fillId="13" borderId="24" xfId="0" applyFont="1" applyFill="1" applyBorder="1" applyAlignment="1">
      <alignment vertical="center" wrapText="1"/>
    </xf>
    <xf numFmtId="0" fontId="25" fillId="13" borderId="25" xfId="0" applyFont="1" applyFill="1" applyBorder="1" applyAlignment="1">
      <alignment vertical="center" wrapText="1"/>
    </xf>
    <xf numFmtId="169" fontId="24" fillId="6" borderId="19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9" borderId="15" xfId="0" applyFont="1" applyFill="1" applyBorder="1" applyAlignment="1">
      <alignment horizontal="left" vertical="center" wrapText="1"/>
    </xf>
    <xf numFmtId="0" fontId="9" fillId="14" borderId="8" xfId="0" applyFont="1" applyFill="1" applyBorder="1" applyAlignment="1">
      <alignment horizontal="left" vertical="center" wrapText="1"/>
    </xf>
    <xf numFmtId="0" fontId="9" fillId="14" borderId="9" xfId="0" applyFont="1" applyFill="1" applyBorder="1" applyAlignment="1">
      <alignment horizontal="left" vertical="center" wrapText="1"/>
    </xf>
    <xf numFmtId="0" fontId="9" fillId="14" borderId="10" xfId="0" applyFont="1" applyFill="1" applyBorder="1" applyAlignment="1">
      <alignment horizontal="left" vertical="center" wrapText="1"/>
    </xf>
    <xf numFmtId="0" fontId="9" fillId="14" borderId="11" xfId="0" applyFont="1" applyFill="1" applyBorder="1" applyAlignment="1">
      <alignment horizontal="left" vertical="center" wrapText="1"/>
    </xf>
    <xf numFmtId="3" fontId="13" fillId="7" borderId="6" xfId="0" applyNumberFormat="1" applyFont="1" applyFill="1" applyBorder="1" applyAlignment="1">
      <alignment horizontal="center" vertical="center" wrapText="1"/>
    </xf>
    <xf numFmtId="3" fontId="13" fillId="7" borderId="0" xfId="0" applyNumberFormat="1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12" fillId="9" borderId="9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25" fillId="13" borderId="24" xfId="0" applyFont="1" applyFill="1" applyBorder="1" applyAlignment="1">
      <alignment horizontal="left" vertical="center" wrapText="1"/>
    </xf>
    <xf numFmtId="0" fontId="25" fillId="13" borderId="25" xfId="0" applyFont="1" applyFill="1" applyBorder="1" applyAlignment="1">
      <alignment horizontal="left" vertical="center" wrapText="1"/>
    </xf>
    <xf numFmtId="0" fontId="25" fillId="13" borderId="26" xfId="0" applyFont="1" applyFill="1" applyBorder="1" applyAlignment="1">
      <alignment horizontal="left" vertical="center" wrapText="1"/>
    </xf>
    <xf numFmtId="0" fontId="33" fillId="18" borderId="24" xfId="0" applyFont="1" applyFill="1" applyBorder="1" applyAlignment="1">
      <alignment horizontal="left" vertical="center" wrapText="1"/>
    </xf>
    <xf numFmtId="0" fontId="33" fillId="18" borderId="25" xfId="0" applyFont="1" applyFill="1" applyBorder="1" applyAlignment="1">
      <alignment horizontal="left" vertical="center" wrapText="1"/>
    </xf>
    <xf numFmtId="0" fontId="33" fillId="18" borderId="26" xfId="0" applyFont="1" applyFill="1" applyBorder="1" applyAlignment="1">
      <alignment horizontal="left" vertical="center" wrapText="1"/>
    </xf>
  </cellXfs>
  <cellStyles count="6">
    <cellStyle name="Comma" xfId="5" builtinId="3"/>
    <cellStyle name="Currency" xfId="1" builtinId="4"/>
    <cellStyle name="Currency 2" xfId="4" xr:uid="{00000000-0005-0000-0000-000002000000}"/>
    <cellStyle name="Normal" xfId="0" builtinId="0"/>
    <cellStyle name="Normal 2" xfId="3" xr:uid="{00000000-0005-0000-0000-000004000000}"/>
    <cellStyle name="Percent" xfId="2" builtinId="5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Analysis!$B$7</c:f>
              <c:strCache>
                <c:ptCount val="1"/>
                <c:pt idx="0">
                  <c:v>Total Capital Cost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Analysis!$C$7:$T$7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E-4D0C-B1EE-9F0E8E3E1438}"/>
            </c:ext>
          </c:extLst>
        </c:ser>
        <c:ser>
          <c:idx val="1"/>
          <c:order val="1"/>
          <c:tx>
            <c:strRef>
              <c:f>Analysis!#REF!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Analysis!$C$35:$T$35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E-4D0C-B1EE-9F0E8E3E1438}"/>
            </c:ext>
          </c:extLst>
        </c:ser>
        <c:ser>
          <c:idx val="2"/>
          <c:order val="2"/>
          <c:tx>
            <c:strRef>
              <c:f>Analysis!$B$46</c:f>
              <c:strCache>
                <c:ptCount val="1"/>
                <c:pt idx="0">
                  <c:v>Total Revenue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Analysis!$C$46:$T$46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8E-4D0C-B1EE-9F0E8E3E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810864"/>
        <c:axId val="769811256"/>
      </c:lineChart>
      <c:catAx>
        <c:axId val="76981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811256"/>
        <c:crosses val="autoZero"/>
        <c:auto val="1"/>
        <c:lblAlgn val="ctr"/>
        <c:lblOffset val="100"/>
        <c:noMultiLvlLbl val="1"/>
      </c:catAx>
      <c:valAx>
        <c:axId val="76981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81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Analysis!$B$58</c:f>
              <c:strCache>
                <c:ptCount val="1"/>
                <c:pt idx="0">
                  <c:v>Net Commercial Gain/Loss (base discount rate)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Analysis!$C$58:$T$58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FD-483D-B02D-B9749827E89B}"/>
            </c:ext>
          </c:extLst>
        </c:ser>
        <c:ser>
          <c:idx val="1"/>
          <c:order val="1"/>
          <c:tx>
            <c:strRef>
              <c:f>Analysis!$B$59</c:f>
              <c:strCache>
                <c:ptCount val="1"/>
                <c:pt idx="0">
                  <c:v>Net Commercial Gain/Loss (low discount rate)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Analysis!$C$59:$T$59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D-483D-B02D-B9749827E89B}"/>
            </c:ext>
          </c:extLst>
        </c:ser>
        <c:ser>
          <c:idx val="2"/>
          <c:order val="2"/>
          <c:tx>
            <c:strRef>
              <c:f>Analysis!$B$60</c:f>
              <c:strCache>
                <c:ptCount val="1"/>
                <c:pt idx="0">
                  <c:v>Net Commercial Gain/Loss (high discount rate)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Analysis!$C$60:$T$60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FD-483D-B02D-B9749827E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270296"/>
        <c:axId val="733269512"/>
      </c:lineChart>
      <c:catAx>
        <c:axId val="73327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69512"/>
        <c:crosses val="autoZero"/>
        <c:auto val="1"/>
        <c:lblAlgn val="ctr"/>
        <c:lblOffset val="100"/>
        <c:noMultiLvlLbl val="1"/>
      </c:catAx>
      <c:valAx>
        <c:axId val="73326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7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Analysis!$B$7</c:f>
              <c:strCache>
                <c:ptCount val="1"/>
                <c:pt idx="0">
                  <c:v>Total Capital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Analysis!$C$7:$T$7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0-4B98-AE4D-E688E603CDFF}"/>
            </c:ext>
          </c:extLst>
        </c:ser>
        <c:ser>
          <c:idx val="1"/>
          <c:order val="1"/>
          <c:tx>
            <c:strRef>
              <c:f>Analysis!#REF!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Analysis!$C$35:$T$35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0-4B98-AE4D-E688E603CDFF}"/>
            </c:ext>
          </c:extLst>
        </c:ser>
        <c:ser>
          <c:idx val="2"/>
          <c:order val="2"/>
          <c:tx>
            <c:strRef>
              <c:f>Analysis!$B$46</c:f>
              <c:strCache>
                <c:ptCount val="1"/>
                <c:pt idx="0">
                  <c:v>Total Revenue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Analysis!$C$46:$T$46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00-4B98-AE4D-E688E603C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273040"/>
        <c:axId val="733267160"/>
      </c:lineChart>
      <c:catAx>
        <c:axId val="7332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67160"/>
        <c:crosses val="autoZero"/>
        <c:auto val="1"/>
        <c:lblAlgn val="ctr"/>
        <c:lblOffset val="100"/>
        <c:noMultiLvlLbl val="1"/>
      </c:catAx>
      <c:valAx>
        <c:axId val="73326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7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Analysis!$B$58</c:f>
              <c:strCache>
                <c:ptCount val="1"/>
                <c:pt idx="0">
                  <c:v>Net Commercial Gain/Loss (base discount rate)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Analysis!$C$58:$T$58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E6-4332-B498-EA389B2D5F5F}"/>
            </c:ext>
          </c:extLst>
        </c:ser>
        <c:ser>
          <c:idx val="1"/>
          <c:order val="1"/>
          <c:tx>
            <c:strRef>
              <c:f>Analysis!$B$59</c:f>
              <c:strCache>
                <c:ptCount val="1"/>
                <c:pt idx="0">
                  <c:v>Net Commercial Gain/Loss (low discount rate)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Analysis!$C$59:$T$59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E6-4332-B498-EA389B2D5F5F}"/>
            </c:ext>
          </c:extLst>
        </c:ser>
        <c:ser>
          <c:idx val="2"/>
          <c:order val="2"/>
          <c:tx>
            <c:strRef>
              <c:f>Analysis!$B$60</c:f>
              <c:strCache>
                <c:ptCount val="1"/>
                <c:pt idx="0">
                  <c:v>Net Commercial Gain/Loss (high discount rate)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Analysis!$C$3:$T$3</c:f>
              <c:strCache>
                <c:ptCount val="18"/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</c:strCache>
            </c:strRef>
          </c:cat>
          <c:val>
            <c:numRef>
              <c:f>Analysis!$C$60:$T$60</c:f>
              <c:numCache>
                <c:formatCode>"$"#,##0_);[Red]\("$"#,##0\)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E6-4332-B498-EA389B2D5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271864"/>
        <c:axId val="733268728"/>
      </c:lineChart>
      <c:catAx>
        <c:axId val="7332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68728"/>
        <c:crosses val="autoZero"/>
        <c:auto val="1"/>
        <c:lblAlgn val="ctr"/>
        <c:lblOffset val="100"/>
        <c:noMultiLvlLbl val="1"/>
      </c:catAx>
      <c:valAx>
        <c:axId val="73326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7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Annualised NPVs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Analysis!$C$79</c:f>
              <c:strCache>
                <c:ptCount val="1"/>
                <c:pt idx="0">
                  <c:v>Net Outcome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Analysis!$D$78:$F$78</c:f>
              <c:strCache>
                <c:ptCount val="3"/>
                <c:pt idx="0">
                  <c:v>NPV (base rate)</c:v>
                </c:pt>
                <c:pt idx="1">
                  <c:v>NPV (low)</c:v>
                </c:pt>
                <c:pt idx="2">
                  <c:v>NPV (high)</c:v>
                </c:pt>
              </c:strCache>
            </c:strRef>
          </c:cat>
          <c:val>
            <c:numRef>
              <c:f>Analysis!$D$79:$F$79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C57-A305-48DCB33030A4}"/>
            </c:ext>
          </c:extLst>
        </c:ser>
        <c:ser>
          <c:idx val="1"/>
          <c:order val="1"/>
          <c:tx>
            <c:strRef>
              <c:f>Analysis!$C$80</c:f>
              <c:strCache>
                <c:ptCount val="1"/>
                <c:pt idx="0">
                  <c:v>Net Outcome with Grant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Analysis!$D$78:$F$78</c:f>
              <c:strCache>
                <c:ptCount val="3"/>
                <c:pt idx="0">
                  <c:v>NPV (base rate)</c:v>
                </c:pt>
                <c:pt idx="1">
                  <c:v>NPV (low)</c:v>
                </c:pt>
                <c:pt idx="2">
                  <c:v>NPV (high)</c:v>
                </c:pt>
              </c:strCache>
            </c:strRef>
          </c:cat>
          <c:val>
            <c:numRef>
              <c:f>Analysis!$D$80:$F$80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0-4C57-A305-48DCB3303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6560776"/>
        <c:axId val="846560384"/>
      </c:barChart>
      <c:catAx>
        <c:axId val="84656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560384"/>
        <c:crosses val="autoZero"/>
        <c:auto val="1"/>
        <c:lblAlgn val="ctr"/>
        <c:lblOffset val="100"/>
        <c:noMultiLvlLbl val="0"/>
      </c:catAx>
      <c:valAx>
        <c:axId val="84656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56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Graphs!$A$8</c:f>
              <c:strCache>
                <c:ptCount val="1"/>
                <c:pt idx="0">
                  <c:v>Required Income (base discount rate) New Waste Recovered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Graphs!$B$7:$P$7</c:f>
              <c:numCache>
                <c:formatCode>General</c:formatCode>
                <c:ptCount val="15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</c:numCache>
            </c:numRef>
          </c:cat>
          <c:val>
            <c:numRef>
              <c:f>Graphs!$B$8:$P$8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D-4FC4-9A9E-090F503648E0}"/>
            </c:ext>
          </c:extLst>
        </c:ser>
        <c:ser>
          <c:idx val="1"/>
          <c:order val="1"/>
          <c:tx>
            <c:strRef>
              <c:f>Graphs!$A$9</c:f>
              <c:strCache>
                <c:ptCount val="1"/>
                <c:pt idx="0">
                  <c:v>Required Income (low discount rate) New Waste Recovered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Graphs!$B$7:$P$7</c:f>
              <c:numCache>
                <c:formatCode>General</c:formatCode>
                <c:ptCount val="15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</c:numCache>
            </c:numRef>
          </c:cat>
          <c:val>
            <c:numRef>
              <c:f>Graphs!$B$9:$P$9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D-4FC4-9A9E-090F503648E0}"/>
            </c:ext>
          </c:extLst>
        </c:ser>
        <c:ser>
          <c:idx val="2"/>
          <c:order val="2"/>
          <c:tx>
            <c:strRef>
              <c:f>Graphs!$A$10</c:f>
              <c:strCache>
                <c:ptCount val="1"/>
                <c:pt idx="0">
                  <c:v>Required Income (high discount rate) New Waste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Graphs!$B$7:$P$7</c:f>
              <c:numCache>
                <c:formatCode>General</c:formatCode>
                <c:ptCount val="15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</c:numCache>
            </c:numRef>
          </c:cat>
          <c:val>
            <c:numRef>
              <c:f>Graphs!$B$10:$P$10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CD-4FC4-9A9E-090F50364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562736"/>
        <c:axId val="846561560"/>
      </c:lineChart>
      <c:catAx>
        <c:axId val="84656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561560"/>
        <c:crosses val="autoZero"/>
        <c:auto val="1"/>
        <c:lblAlgn val="ctr"/>
        <c:lblOffset val="100"/>
        <c:noMultiLvlLbl val="0"/>
      </c:catAx>
      <c:valAx>
        <c:axId val="84656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56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Grant Funding</a:t>
            </a:r>
            <a:r>
              <a:rPr lang="en-GB" baseline="0"/>
              <a:t> Only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Graphs!$A$14</c:f>
              <c:strCache>
                <c:ptCount val="1"/>
                <c:pt idx="0">
                  <c:v>Required Income (base discount rate) New Waste Recovered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Graphs!$B$13:$P$13</c:f>
              <c:numCache>
                <c:formatCode>General</c:formatCode>
                <c:ptCount val="15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</c:numCache>
            </c:numRef>
          </c:cat>
          <c:val>
            <c:numRef>
              <c:f>Graphs!$B$14:$P$14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C-496E-94D0-DFD979A9B51D}"/>
            </c:ext>
          </c:extLst>
        </c:ser>
        <c:ser>
          <c:idx val="1"/>
          <c:order val="1"/>
          <c:tx>
            <c:strRef>
              <c:f>Graphs!$A$15</c:f>
              <c:strCache>
                <c:ptCount val="1"/>
                <c:pt idx="0">
                  <c:v>Required Income (low discount rate) New Waste Recovered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Graphs!$B$13:$P$13</c:f>
              <c:numCache>
                <c:formatCode>General</c:formatCode>
                <c:ptCount val="15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</c:numCache>
            </c:numRef>
          </c:cat>
          <c:val>
            <c:numRef>
              <c:f>Graphs!$B$15:$P$15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C-496E-94D0-DFD979A9B51D}"/>
            </c:ext>
          </c:extLst>
        </c:ser>
        <c:ser>
          <c:idx val="2"/>
          <c:order val="2"/>
          <c:tx>
            <c:strRef>
              <c:f>Graphs!$A$16</c:f>
              <c:strCache>
                <c:ptCount val="1"/>
                <c:pt idx="0">
                  <c:v>Required Income (high discount rate) New Waste Recovered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Graphs!$B$13:$P$13</c:f>
              <c:numCache>
                <c:formatCode>General</c:formatCode>
                <c:ptCount val="15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</c:numCache>
            </c:numRef>
          </c:cat>
          <c:val>
            <c:numRef>
              <c:f>Graphs!$B$16:$P$16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4C-496E-94D0-DFD979A9B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6562344"/>
        <c:axId val="846559208"/>
      </c:lineChart>
      <c:catAx>
        <c:axId val="84656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559208"/>
        <c:crosses val="autoZero"/>
        <c:auto val="1"/>
        <c:lblAlgn val="ctr"/>
        <c:lblOffset val="100"/>
        <c:noMultiLvlLbl val="0"/>
      </c:catAx>
      <c:valAx>
        <c:axId val="84655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56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Graphs!$B$20</c:f>
              <c:strCache>
                <c:ptCount val="1"/>
                <c:pt idx="0">
                  <c:v> NPV (base rate)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Graphs!$A$21:$A$28</c:f>
              <c:strCache>
                <c:ptCount val="8"/>
                <c:pt idx="0">
                  <c:v>Capital Expenditure Inflated</c:v>
                </c:pt>
                <c:pt idx="1">
                  <c:v>Operating &amp; Maintenance Cost Inflated</c:v>
                </c:pt>
                <c:pt idx="2">
                  <c:v>Annual Revenue Inflated</c:v>
                </c:pt>
                <c:pt idx="3">
                  <c:v>Net Outcome</c:v>
                </c:pt>
                <c:pt idx="4">
                  <c:v>Proponent Net Commercial Gain/Loss</c:v>
                </c:pt>
                <c:pt idx="5">
                  <c:v>Grant Funding</c:v>
                </c:pt>
                <c:pt idx="6">
                  <c:v>Net Outcome with Grant </c:v>
                </c:pt>
                <c:pt idx="7">
                  <c:v>Residual Value of Asset</c:v>
                </c:pt>
              </c:strCache>
            </c:strRef>
          </c:cat>
          <c:val>
            <c:numRef>
              <c:f>Graphs!$B$21:$B$28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7-431D-BCA6-48EB51105EA5}"/>
            </c:ext>
          </c:extLst>
        </c:ser>
        <c:ser>
          <c:idx val="1"/>
          <c:order val="1"/>
          <c:tx>
            <c:strRef>
              <c:f>Graphs!$C$20</c:f>
              <c:strCache>
                <c:ptCount val="1"/>
                <c:pt idx="0">
                  <c:v> NPV (low)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Graphs!$A$21:$A$28</c:f>
              <c:strCache>
                <c:ptCount val="8"/>
                <c:pt idx="0">
                  <c:v>Capital Expenditure Inflated</c:v>
                </c:pt>
                <c:pt idx="1">
                  <c:v>Operating &amp; Maintenance Cost Inflated</c:v>
                </c:pt>
                <c:pt idx="2">
                  <c:v>Annual Revenue Inflated</c:v>
                </c:pt>
                <c:pt idx="3">
                  <c:v>Net Outcome</c:v>
                </c:pt>
                <c:pt idx="4">
                  <c:v>Proponent Net Commercial Gain/Loss</c:v>
                </c:pt>
                <c:pt idx="5">
                  <c:v>Grant Funding</c:v>
                </c:pt>
                <c:pt idx="6">
                  <c:v>Net Outcome with Grant </c:v>
                </c:pt>
                <c:pt idx="7">
                  <c:v>Residual Value of Asset</c:v>
                </c:pt>
              </c:strCache>
            </c:strRef>
          </c:cat>
          <c:val>
            <c:numRef>
              <c:f>Graphs!$C$21:$C$28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7-431D-BCA6-48EB51105EA5}"/>
            </c:ext>
          </c:extLst>
        </c:ser>
        <c:ser>
          <c:idx val="2"/>
          <c:order val="2"/>
          <c:tx>
            <c:strRef>
              <c:f>Graphs!$D$20</c:f>
              <c:strCache>
                <c:ptCount val="1"/>
                <c:pt idx="0">
                  <c:v> NPV (high)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Graphs!$A$21:$A$28</c:f>
              <c:strCache>
                <c:ptCount val="8"/>
                <c:pt idx="0">
                  <c:v>Capital Expenditure Inflated</c:v>
                </c:pt>
                <c:pt idx="1">
                  <c:v>Operating &amp; Maintenance Cost Inflated</c:v>
                </c:pt>
                <c:pt idx="2">
                  <c:v>Annual Revenue Inflated</c:v>
                </c:pt>
                <c:pt idx="3">
                  <c:v>Net Outcome</c:v>
                </c:pt>
                <c:pt idx="4">
                  <c:v>Proponent Net Commercial Gain/Loss</c:v>
                </c:pt>
                <c:pt idx="5">
                  <c:v>Grant Funding</c:v>
                </c:pt>
                <c:pt idx="6">
                  <c:v>Net Outcome with Grant </c:v>
                </c:pt>
                <c:pt idx="7">
                  <c:v>Residual Value of Asset</c:v>
                </c:pt>
              </c:strCache>
            </c:strRef>
          </c:cat>
          <c:val>
            <c:numRef>
              <c:f>Graphs!$D$21:$D$28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7-431D-BCA6-48EB5110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3291856"/>
        <c:axId val="1153292248"/>
      </c:barChart>
      <c:catAx>
        <c:axId val="115329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292248"/>
        <c:crosses val="autoZero"/>
        <c:auto val="1"/>
        <c:lblAlgn val="ctr"/>
        <c:lblOffset val="100"/>
        <c:noMultiLvlLbl val="0"/>
      </c:catAx>
      <c:valAx>
        <c:axId val="11532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29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285750</xdr:colOff>
      <xdr:row>9</xdr:row>
      <xdr:rowOff>266699</xdr:rowOff>
    </xdr:from>
    <xdr:ext cx="4143375" cy="31915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10475" y="3362324"/>
          <a:ext cx="4143375" cy="319151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following items will not be funded and should be excluded from the estimate of eligible project costs for co-funding:</a:t>
          </a:r>
        </a:p>
        <a:p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Project development costs such as options analyses, feasibility studies, business case development and due diligence 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Any expenditure incurred prior to the project commencement date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Planning approvals and environmental licence application costs, including any impact assessment studies that may be required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Civil works outside the direct project site such as road and drainage upgrades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Site acquisition costs – purchase or lease costs and any site rehabilitation costs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Leased equipment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Operations and maintenance costs, including working capital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Financing costs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Existing plant and equipment which may be utilised in the new project (these should be identified as in-kind contributions)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Grant application, monitoring and administration costs (including any consultant support engaged by the applicant)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Promotion and advertising costs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Compliance with regulation and licence conditions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Offtake market development costs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Education and information campaigns </a:t>
          </a: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Contingency allowances are not eligible for co-funding but it is considered prudent for these to be included in the total project budget</a:t>
          </a:r>
          <a:endParaRPr lang="en-AU" sz="900"/>
        </a:p>
      </xdr:txBody>
    </xdr:sp>
    <xdr:clientData/>
  </xdr:oneCellAnchor>
  <xdr:oneCellAnchor>
    <xdr:from>
      <xdr:col>8</xdr:col>
      <xdr:colOff>133350</xdr:colOff>
      <xdr:row>30</xdr:row>
      <xdr:rowOff>76199</xdr:rowOff>
    </xdr:from>
    <xdr:ext cx="4143375" cy="121930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458075" y="9086849"/>
          <a:ext cx="4143375" cy="121930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Contribution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 of resources by the applicant and/or partners to the construction phase, which can be valued and are offsetting capital expenditure on external resources. </a:t>
          </a:r>
        </a:p>
        <a:p>
          <a:endParaRPr lang="en-AU" sz="9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May include staff time dedicated to the construction phase,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plant and equipment loaned to the project, use of a site for construction laydown, other services and materials provided without charge.</a:t>
          </a:r>
        </a:p>
        <a:p>
          <a:endParaRPr lang="en-AU" sz="9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107830</xdr:colOff>
      <xdr:row>14</xdr:row>
      <xdr:rowOff>53916</xdr:rowOff>
    </xdr:from>
    <xdr:ext cx="4143375" cy="7008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138585" y="2938374"/>
          <a:ext cx="4143375" cy="70089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Include all relevant operational costs</a:t>
          </a:r>
          <a:r>
            <a:rPr lang="en-AU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over the life of the plant including labour, management, administration, maintenance, mobile plant hire, transport of products, disposal of residuals, utilities, consumables, compliance, testing / monitoring, licensing, insurance, consultants</a:t>
          </a:r>
        </a:p>
        <a:p>
          <a:endParaRPr lang="en-AU" sz="9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10</xdr:row>
      <xdr:rowOff>38099</xdr:rowOff>
    </xdr:from>
    <xdr:to>
      <xdr:col>6</xdr:col>
      <xdr:colOff>733424</xdr:colOff>
      <xdr:row>27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8B5C07-D64E-41E5-9225-89683D2CC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990600</xdr:colOff>
      <xdr:row>10</xdr:row>
      <xdr:rowOff>38100</xdr:rowOff>
    </xdr:from>
    <xdr:to>
      <xdr:col>14</xdr:col>
      <xdr:colOff>352425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399797-DE6F-45F0-82F5-C4B5B68D8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790581</xdr:colOff>
      <xdr:row>103</xdr:row>
      <xdr:rowOff>85725</xdr:rowOff>
    </xdr:from>
    <xdr:to>
      <xdr:col>10</xdr:col>
      <xdr:colOff>285756</xdr:colOff>
      <xdr:row>119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6E451-A75F-4955-9A10-6B8E8FB4B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657231</xdr:colOff>
      <xdr:row>103</xdr:row>
      <xdr:rowOff>123825</xdr:rowOff>
    </xdr:from>
    <xdr:to>
      <xdr:col>19</xdr:col>
      <xdr:colOff>228606</xdr:colOff>
      <xdr:row>119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996FE1-EC88-4AA2-B1C7-F9B75DE0D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105</xdr:row>
      <xdr:rowOff>66675</xdr:rowOff>
    </xdr:from>
    <xdr:to>
      <xdr:col>4</xdr:col>
      <xdr:colOff>295275</xdr:colOff>
      <xdr:row>122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3E30E6-7731-4532-B17A-BDD1994DD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2</xdr:row>
      <xdr:rowOff>80961</xdr:rowOff>
    </xdr:from>
    <xdr:to>
      <xdr:col>25</xdr:col>
      <xdr:colOff>152400</xdr:colOff>
      <xdr:row>15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65A91D-2E80-4857-B2BA-6A682F71DC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380999</xdr:colOff>
      <xdr:row>15</xdr:row>
      <xdr:rowOff>300037</xdr:rowOff>
    </xdr:from>
    <xdr:to>
      <xdr:col>25</xdr:col>
      <xdr:colOff>123824</xdr:colOff>
      <xdr:row>33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ACAE65-073B-4D1E-A06D-FBD90FD0F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323851</xdr:colOff>
      <xdr:row>19</xdr:row>
      <xdr:rowOff>147636</xdr:rowOff>
    </xdr:from>
    <xdr:to>
      <xdr:col>15</xdr:col>
      <xdr:colOff>504825</xdr:colOff>
      <xdr:row>34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FE64FA-0575-4D71-A001-DC0E6DAA0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T22"/>
  <sheetViews>
    <sheetView workbookViewId="0">
      <selection activeCell="D9" sqref="D9"/>
    </sheetView>
  </sheetViews>
  <sheetFormatPr defaultRowHeight="14.25" x14ac:dyDescent="0.2"/>
  <cols>
    <col min="1" max="1" width="3.7109375" style="26" customWidth="1"/>
    <col min="2" max="2" width="43.28515625" style="26" customWidth="1"/>
    <col min="3" max="3" width="11" style="26" customWidth="1"/>
    <col min="4" max="4" width="47.85546875" style="48" customWidth="1"/>
    <col min="5" max="5" width="22.5703125" style="48" customWidth="1"/>
    <col min="6" max="18" width="10.28515625" style="48" customWidth="1"/>
    <col min="19" max="19" width="42.28515625" style="49" customWidth="1"/>
    <col min="20" max="16384" width="9.140625" style="26"/>
  </cols>
  <sheetData>
    <row r="1" spans="2:20" ht="30" customHeight="1" x14ac:dyDescent="0.35">
      <c r="B1" s="18" t="s">
        <v>67</v>
      </c>
      <c r="C1" s="19"/>
    </row>
    <row r="2" spans="2:20" s="9" customFormat="1" ht="17.25" customHeight="1" x14ac:dyDescent="0.2">
      <c r="B2" s="24" t="s">
        <v>49</v>
      </c>
      <c r="C2" s="97"/>
      <c r="D2" s="25"/>
      <c r="E2" s="197"/>
      <c r="F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</row>
    <row r="3" spans="2:20" ht="15" thickBot="1" x14ac:dyDescent="0.25"/>
    <row r="4" spans="2:20" ht="22.5" customHeight="1" x14ac:dyDescent="0.2">
      <c r="B4" s="198" t="s">
        <v>69</v>
      </c>
      <c r="C4" s="198"/>
      <c r="D4" s="198"/>
    </row>
    <row r="5" spans="2:20" ht="22.5" customHeight="1" x14ac:dyDescent="0.2">
      <c r="B5" s="21" t="s">
        <v>0</v>
      </c>
      <c r="C5" s="10"/>
      <c r="D5" s="59"/>
    </row>
    <row r="6" spans="2:20" ht="22.5" customHeight="1" x14ac:dyDescent="0.2">
      <c r="B6" s="21" t="s">
        <v>74</v>
      </c>
      <c r="C6" s="10"/>
      <c r="D6" s="59"/>
    </row>
    <row r="7" spans="2:20" ht="22.5" customHeight="1" x14ac:dyDescent="0.2">
      <c r="B7" s="21" t="s">
        <v>70</v>
      </c>
      <c r="C7" s="10"/>
      <c r="D7" s="57"/>
    </row>
    <row r="8" spans="2:20" ht="22.5" customHeight="1" x14ac:dyDescent="0.2">
      <c r="B8" s="21" t="s">
        <v>71</v>
      </c>
      <c r="C8" s="10"/>
      <c r="D8" s="60"/>
    </row>
    <row r="9" spans="2:20" ht="22.5" customHeight="1" x14ac:dyDescent="0.2">
      <c r="B9" s="21" t="s">
        <v>72</v>
      </c>
      <c r="C9" s="10"/>
      <c r="D9" s="57"/>
      <c r="E9" s="61" t="s">
        <v>50</v>
      </c>
      <c r="F9" s="63">
        <f>IF(MONTH(Construction_startdate)&lt;7,YEAR(Construction_startdate),YEAR(Construction_startdate)+1)</f>
        <v>1900</v>
      </c>
      <c r="G9" s="63" t="str">
        <f>($F9-1)&amp;"-"&amp;($F9-2000)</f>
        <v>1899--100</v>
      </c>
      <c r="H9" s="76">
        <f>F10-F9</f>
        <v>0</v>
      </c>
    </row>
    <row r="10" spans="2:20" ht="22.5" customHeight="1" thickBot="1" x14ac:dyDescent="0.25">
      <c r="B10" s="21" t="s">
        <v>73</v>
      </c>
      <c r="C10" s="56"/>
      <c r="D10" s="58"/>
      <c r="E10" s="62" t="s">
        <v>50</v>
      </c>
      <c r="F10" s="64">
        <f>IF(MONTH(Operations_startdate)&lt;7,YEAR(Operations_startdate),YEAR(Operations_startdate)+1)</f>
        <v>1900</v>
      </c>
      <c r="G10" s="64" t="str">
        <f>($F10-1)&amp;"-"&amp;($F10-2000)</f>
        <v>1899--100</v>
      </c>
    </row>
    <row r="11" spans="2:20" ht="22.5" customHeight="1" x14ac:dyDescent="0.2">
      <c r="B11" s="198" t="s">
        <v>68</v>
      </c>
      <c r="C11" s="198"/>
      <c r="D11" s="198"/>
    </row>
    <row r="12" spans="2:20" ht="22.5" customHeight="1" x14ac:dyDescent="0.2">
      <c r="B12" s="145" t="s">
        <v>185</v>
      </c>
      <c r="C12" s="10"/>
      <c r="D12" s="59"/>
    </row>
    <row r="13" spans="2:20" ht="22.5" customHeight="1" x14ac:dyDescent="0.2">
      <c r="B13" s="21" t="s">
        <v>13</v>
      </c>
      <c r="C13" s="10"/>
      <c r="D13" s="52"/>
    </row>
    <row r="14" spans="2:20" ht="22.5" customHeight="1" x14ac:dyDescent="0.2">
      <c r="B14" s="21" t="s">
        <v>14</v>
      </c>
      <c r="C14" s="10"/>
      <c r="D14" s="52"/>
    </row>
    <row r="15" spans="2:20" ht="22.5" customHeight="1" x14ac:dyDescent="0.2">
      <c r="B15" s="21" t="s">
        <v>15</v>
      </c>
      <c r="C15" s="10"/>
      <c r="D15" s="52"/>
    </row>
    <row r="16" spans="2:20" ht="22.5" customHeight="1" x14ac:dyDescent="0.2">
      <c r="B16" s="21" t="s">
        <v>16</v>
      </c>
      <c r="C16" s="10"/>
      <c r="D16" s="53"/>
    </row>
    <row r="17" spans="2:4" ht="22.5" customHeight="1" x14ac:dyDescent="0.2">
      <c r="B17" s="21" t="s">
        <v>122</v>
      </c>
      <c r="C17" s="10"/>
      <c r="D17" s="53"/>
    </row>
    <row r="18" spans="2:4" ht="22.5" customHeight="1" x14ac:dyDescent="0.2">
      <c r="B18" s="21" t="s">
        <v>75</v>
      </c>
      <c r="C18" s="10"/>
      <c r="D18" s="54"/>
    </row>
    <row r="19" spans="2:4" ht="22.5" customHeight="1" x14ac:dyDescent="0.2">
      <c r="B19" s="55"/>
      <c r="C19" s="55"/>
      <c r="D19" s="51"/>
    </row>
    <row r="20" spans="2:4" x14ac:dyDescent="0.2">
      <c r="B20" s="55"/>
      <c r="C20" s="55"/>
      <c r="D20" s="51"/>
    </row>
    <row r="21" spans="2:4" x14ac:dyDescent="0.2">
      <c r="B21" s="55"/>
      <c r="C21" s="55"/>
      <c r="D21" s="51"/>
    </row>
    <row r="22" spans="2:4" x14ac:dyDescent="0.2">
      <c r="B22" s="55"/>
      <c r="C22" s="55"/>
      <c r="D22" s="51"/>
    </row>
  </sheetData>
  <mergeCells count="2">
    <mergeCell ref="B11:D11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T40"/>
  <sheetViews>
    <sheetView zoomScaleNormal="100" workbookViewId="0">
      <pane xSplit="4" ySplit="6" topLeftCell="E31" activePane="bottomRight" state="frozen"/>
      <selection pane="topRight" activeCell="E1" sqref="E1"/>
      <selection pane="bottomLeft" activeCell="A9" sqref="A9"/>
      <selection pane="bottomRight" activeCell="E6" sqref="E6"/>
    </sheetView>
  </sheetViews>
  <sheetFormatPr defaultRowHeight="15" x14ac:dyDescent="0.25"/>
  <cols>
    <col min="1" max="1" width="3.7109375" customWidth="1"/>
    <col min="2" max="2" width="23.85546875" customWidth="1"/>
    <col min="3" max="3" width="30" style="17" customWidth="1"/>
    <col min="4" max="4" width="11" customWidth="1"/>
    <col min="5" max="19" width="10.28515625" style="27" customWidth="1"/>
    <col min="20" max="20" width="42.28515625" style="40" customWidth="1"/>
  </cols>
  <sheetData>
    <row r="1" spans="2:20" ht="30" customHeight="1" x14ac:dyDescent="0.35">
      <c r="B1" s="18" t="s">
        <v>44</v>
      </c>
      <c r="C1" s="18"/>
      <c r="D1" s="19"/>
    </row>
    <row r="2" spans="2:20" s="9" customFormat="1" ht="17.25" customHeight="1" x14ac:dyDescent="0.2">
      <c r="B2" s="24" t="s">
        <v>49</v>
      </c>
      <c r="C2" s="97"/>
      <c r="D2" s="25"/>
      <c r="E2" s="25"/>
      <c r="F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9"/>
    </row>
    <row r="3" spans="2:20" ht="27.75" customHeight="1" x14ac:dyDescent="0.25">
      <c r="B3" s="7" t="s">
        <v>18</v>
      </c>
      <c r="C3" s="7" t="s">
        <v>40</v>
      </c>
      <c r="D3" s="7" t="s">
        <v>19</v>
      </c>
      <c r="E3" s="203" t="s">
        <v>20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2:20" ht="22.5" customHeight="1" thickBot="1" x14ac:dyDescent="0.3">
      <c r="B4" s="8" t="s">
        <v>21</v>
      </c>
      <c r="C4" s="8"/>
      <c r="D4" s="8"/>
      <c r="E4" s="28" t="s">
        <v>22</v>
      </c>
      <c r="F4" s="28" t="s">
        <v>23</v>
      </c>
      <c r="G4" s="28" t="s">
        <v>24</v>
      </c>
      <c r="H4" s="28" t="s">
        <v>25</v>
      </c>
      <c r="I4" s="28" t="s">
        <v>26</v>
      </c>
      <c r="J4" s="28" t="s">
        <v>27</v>
      </c>
      <c r="K4" s="28" t="s">
        <v>28</v>
      </c>
      <c r="L4" s="28" t="s">
        <v>29</v>
      </c>
      <c r="M4" s="28" t="s">
        <v>30</v>
      </c>
      <c r="N4" s="28" t="s">
        <v>31</v>
      </c>
      <c r="O4" s="28" t="s">
        <v>32</v>
      </c>
      <c r="P4" s="28" t="s">
        <v>33</v>
      </c>
      <c r="Q4" s="28" t="s">
        <v>37</v>
      </c>
      <c r="R4" s="28" t="s">
        <v>38</v>
      </c>
      <c r="S4" s="28" t="s">
        <v>39</v>
      </c>
    </row>
    <row r="5" spans="2:20" s="22" customFormat="1" ht="14.25" customHeight="1" thickBot="1" x14ac:dyDescent="0.25">
      <c r="B5" s="23" t="s">
        <v>47</v>
      </c>
      <c r="C5" s="23"/>
      <c r="D5" s="23"/>
      <c r="E5" s="29">
        <f>'Project Details'!F10</f>
        <v>1900</v>
      </c>
      <c r="F5" s="29">
        <f>E5+1</f>
        <v>1901</v>
      </c>
      <c r="G5" s="29">
        <f t="shared" ref="G5:S5" si="0">F5+1</f>
        <v>1902</v>
      </c>
      <c r="H5" s="29">
        <f t="shared" si="0"/>
        <v>1903</v>
      </c>
      <c r="I5" s="29">
        <f t="shared" si="0"/>
        <v>1904</v>
      </c>
      <c r="J5" s="29">
        <f t="shared" si="0"/>
        <v>1905</v>
      </c>
      <c r="K5" s="29">
        <f t="shared" si="0"/>
        <v>1906</v>
      </c>
      <c r="L5" s="29">
        <f t="shared" si="0"/>
        <v>1907</v>
      </c>
      <c r="M5" s="29">
        <f t="shared" si="0"/>
        <v>1908</v>
      </c>
      <c r="N5" s="29">
        <f t="shared" si="0"/>
        <v>1909</v>
      </c>
      <c r="O5" s="29">
        <f t="shared" si="0"/>
        <v>1910</v>
      </c>
      <c r="P5" s="29">
        <f t="shared" si="0"/>
        <v>1911</v>
      </c>
      <c r="Q5" s="29">
        <f t="shared" si="0"/>
        <v>1912</v>
      </c>
      <c r="R5" s="29">
        <f t="shared" si="0"/>
        <v>1913</v>
      </c>
      <c r="S5" s="29">
        <f t="shared" si="0"/>
        <v>1914</v>
      </c>
      <c r="T5" s="41"/>
    </row>
    <row r="6" spans="2:20" s="22" customFormat="1" ht="14.25" customHeight="1" thickBot="1" x14ac:dyDescent="0.25">
      <c r="B6" s="23" t="s">
        <v>50</v>
      </c>
      <c r="C6" s="23"/>
      <c r="D6" s="23"/>
      <c r="E6" s="29" t="str">
        <f>(E$5-1)&amp;"-"&amp;(E$5-2000)</f>
        <v>1899--100</v>
      </c>
      <c r="F6" s="29" t="str">
        <f t="shared" ref="F6:S6" si="1">(F$5-1)&amp;"-"&amp;(F$5-2000)</f>
        <v>1900--99</v>
      </c>
      <c r="G6" s="29" t="str">
        <f t="shared" si="1"/>
        <v>1901--98</v>
      </c>
      <c r="H6" s="29" t="str">
        <f t="shared" si="1"/>
        <v>1902--97</v>
      </c>
      <c r="I6" s="29" t="str">
        <f t="shared" si="1"/>
        <v>1903--96</v>
      </c>
      <c r="J6" s="29" t="str">
        <f t="shared" si="1"/>
        <v>1904--95</v>
      </c>
      <c r="K6" s="29" t="str">
        <f t="shared" si="1"/>
        <v>1905--94</v>
      </c>
      <c r="L6" s="29" t="str">
        <f t="shared" si="1"/>
        <v>1906--93</v>
      </c>
      <c r="M6" s="29" t="str">
        <f t="shared" si="1"/>
        <v>1907--92</v>
      </c>
      <c r="N6" s="29" t="str">
        <f t="shared" si="1"/>
        <v>1908--91</v>
      </c>
      <c r="O6" s="29" t="str">
        <f t="shared" si="1"/>
        <v>1909--90</v>
      </c>
      <c r="P6" s="29" t="str">
        <f t="shared" si="1"/>
        <v>1910--89</v>
      </c>
      <c r="Q6" s="29" t="str">
        <f t="shared" si="1"/>
        <v>1911--88</v>
      </c>
      <c r="R6" s="29" t="str">
        <f t="shared" si="1"/>
        <v>1912--87</v>
      </c>
      <c r="S6" s="29" t="str">
        <f t="shared" si="1"/>
        <v>1913--86</v>
      </c>
      <c r="T6" s="41"/>
    </row>
    <row r="7" spans="2:20" s="20" customFormat="1" ht="22.5" customHeight="1" x14ac:dyDescent="0.25">
      <c r="B7" s="205" t="s">
        <v>34</v>
      </c>
      <c r="C7" s="205"/>
      <c r="D7" s="205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42"/>
    </row>
    <row r="8" spans="2:20" ht="22.5" customHeight="1" x14ac:dyDescent="0.25">
      <c r="B8" s="11" t="s">
        <v>57</v>
      </c>
      <c r="C8" s="38"/>
      <c r="D8" s="65" t="s">
        <v>35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43" t="s">
        <v>60</v>
      </c>
    </row>
    <row r="9" spans="2:20" ht="22.5" customHeight="1" x14ac:dyDescent="0.25">
      <c r="B9" s="11" t="s">
        <v>51</v>
      </c>
      <c r="C9" s="14"/>
      <c r="D9" s="65" t="s">
        <v>35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2:20" ht="22.5" customHeight="1" x14ac:dyDescent="0.25">
      <c r="B10" s="11" t="s">
        <v>52</v>
      </c>
      <c r="C10" s="14"/>
      <c r="D10" s="65" t="s">
        <v>35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2:20" ht="22.5" customHeight="1" x14ac:dyDescent="0.25">
      <c r="B11" s="11" t="s">
        <v>53</v>
      </c>
      <c r="C11" s="14"/>
      <c r="D11" s="65" t="s">
        <v>35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2:20" ht="22.5" customHeight="1" x14ac:dyDescent="0.25">
      <c r="B12" s="11" t="s">
        <v>54</v>
      </c>
      <c r="C12" s="14"/>
      <c r="D12" s="65" t="s">
        <v>35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2:20" ht="22.5" customHeight="1" x14ac:dyDescent="0.25">
      <c r="B13" s="11" t="s">
        <v>55</v>
      </c>
      <c r="C13" s="14"/>
      <c r="D13" s="65" t="s">
        <v>35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2:20" ht="22.5" customHeight="1" x14ac:dyDescent="0.25">
      <c r="B14" s="11" t="s">
        <v>56</v>
      </c>
      <c r="C14" s="14"/>
      <c r="D14" s="65" t="s">
        <v>35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2:20" s="13" customFormat="1" ht="22.5" customHeight="1" thickBot="1" x14ac:dyDescent="0.3">
      <c r="B15" s="12" t="s">
        <v>58</v>
      </c>
      <c r="C15" s="12"/>
      <c r="D15" s="66" t="s">
        <v>35</v>
      </c>
      <c r="E15" s="31">
        <f>SUM(E9:E14)</f>
        <v>0</v>
      </c>
      <c r="F15" s="31">
        <f t="shared" ref="F15:S15" si="2">SUM(F9:F14)</f>
        <v>0</v>
      </c>
      <c r="G15" s="31">
        <f t="shared" si="2"/>
        <v>0</v>
      </c>
      <c r="H15" s="31">
        <f t="shared" si="2"/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 t="shared" si="2"/>
        <v>0</v>
      </c>
      <c r="M15" s="31">
        <f t="shared" si="2"/>
        <v>0</v>
      </c>
      <c r="N15" s="31">
        <f t="shared" si="2"/>
        <v>0</v>
      </c>
      <c r="O15" s="31">
        <f t="shared" si="2"/>
        <v>0</v>
      </c>
      <c r="P15" s="31">
        <f t="shared" si="2"/>
        <v>0</v>
      </c>
      <c r="Q15" s="31">
        <f t="shared" si="2"/>
        <v>0</v>
      </c>
      <c r="R15" s="31">
        <f t="shared" si="2"/>
        <v>0</v>
      </c>
      <c r="S15" s="31">
        <f t="shared" si="2"/>
        <v>0</v>
      </c>
      <c r="T15" s="44"/>
    </row>
    <row r="16" spans="2:20" s="20" customFormat="1" ht="22.5" customHeight="1" x14ac:dyDescent="0.25">
      <c r="B16" s="205" t="s">
        <v>131</v>
      </c>
      <c r="C16" s="205"/>
      <c r="D16" s="20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42"/>
    </row>
    <row r="17" spans="2:20" ht="22.5" customHeight="1" x14ac:dyDescent="0.25">
      <c r="B17" s="11" t="s">
        <v>133</v>
      </c>
      <c r="C17" s="38"/>
      <c r="D17" s="65" t="s">
        <v>35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3" t="s">
        <v>60</v>
      </c>
    </row>
    <row r="18" spans="2:20" ht="22.5" customHeight="1" x14ac:dyDescent="0.25">
      <c r="B18" s="11" t="s">
        <v>134</v>
      </c>
      <c r="C18" s="14"/>
      <c r="D18" s="65" t="s">
        <v>35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2:20" ht="22.5" customHeight="1" x14ac:dyDescent="0.25">
      <c r="B19" s="11" t="s">
        <v>135</v>
      </c>
      <c r="C19" s="14"/>
      <c r="D19" s="65" t="s">
        <v>35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2:20" ht="22.5" customHeight="1" x14ac:dyDescent="0.25">
      <c r="B20" s="11" t="s">
        <v>136</v>
      </c>
      <c r="C20" s="14"/>
      <c r="D20" s="65" t="s">
        <v>35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2:20" ht="22.5" customHeight="1" x14ac:dyDescent="0.25">
      <c r="B21" s="11" t="s">
        <v>137</v>
      </c>
      <c r="C21" s="14"/>
      <c r="D21" s="65" t="s">
        <v>35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2:20" ht="22.5" customHeight="1" x14ac:dyDescent="0.25">
      <c r="B22" s="11" t="s">
        <v>138</v>
      </c>
      <c r="C22" s="14"/>
      <c r="D22" s="65" t="s">
        <v>35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2:20" ht="22.5" customHeight="1" x14ac:dyDescent="0.25">
      <c r="B23" s="11" t="s">
        <v>139</v>
      </c>
      <c r="C23" s="14"/>
      <c r="D23" s="65" t="s">
        <v>35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2:20" s="13" customFormat="1" ht="22.5" customHeight="1" thickBot="1" x14ac:dyDescent="0.3">
      <c r="B24" s="12" t="s">
        <v>140</v>
      </c>
      <c r="C24" s="12"/>
      <c r="D24" s="66" t="s">
        <v>35</v>
      </c>
      <c r="E24" s="31">
        <f>SUM(E18:E23)</f>
        <v>0</v>
      </c>
      <c r="F24" s="31">
        <f t="shared" ref="F24" si="3">SUM(F18:F23)</f>
        <v>0</v>
      </c>
      <c r="G24" s="31">
        <f t="shared" ref="G24" si="4">SUM(G18:G23)</f>
        <v>0</v>
      </c>
      <c r="H24" s="31">
        <f t="shared" ref="H24" si="5">SUM(H18:H23)</f>
        <v>0</v>
      </c>
      <c r="I24" s="31">
        <f t="shared" ref="I24" si="6">SUM(I18:I23)</f>
        <v>0</v>
      </c>
      <c r="J24" s="31">
        <f t="shared" ref="J24" si="7">SUM(J18:J23)</f>
        <v>0</v>
      </c>
      <c r="K24" s="31">
        <f t="shared" ref="K24" si="8">SUM(K18:K23)</f>
        <v>0</v>
      </c>
      <c r="L24" s="31">
        <f t="shared" ref="L24" si="9">SUM(L18:L23)</f>
        <v>0</v>
      </c>
      <c r="M24" s="31">
        <f t="shared" ref="M24" si="10">SUM(M18:M23)</f>
        <v>0</v>
      </c>
      <c r="N24" s="31">
        <f t="shared" ref="N24" si="11">SUM(N18:N23)</f>
        <v>0</v>
      </c>
      <c r="O24" s="31">
        <f t="shared" ref="O24" si="12">SUM(O18:O23)</f>
        <v>0</v>
      </c>
      <c r="P24" s="31">
        <f t="shared" ref="P24" si="13">SUM(P18:P23)</f>
        <v>0</v>
      </c>
      <c r="Q24" s="31">
        <f t="shared" ref="Q24" si="14">SUM(Q18:Q23)</f>
        <v>0</v>
      </c>
      <c r="R24" s="31">
        <f t="shared" ref="R24" si="15">SUM(R18:R23)</f>
        <v>0</v>
      </c>
      <c r="S24" s="31">
        <f t="shared" ref="S24" si="16">SUM(S18:S23)</f>
        <v>0</v>
      </c>
      <c r="T24" s="44"/>
    </row>
    <row r="25" spans="2:20" s="20" customFormat="1" ht="22.5" customHeight="1" x14ac:dyDescent="0.25">
      <c r="B25" s="205" t="s">
        <v>132</v>
      </c>
      <c r="C25" s="205"/>
      <c r="D25" s="20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43" t="s">
        <v>48</v>
      </c>
    </row>
    <row r="26" spans="2:20" ht="22.5" customHeight="1" x14ac:dyDescent="0.25">
      <c r="B26" s="11" t="s">
        <v>41</v>
      </c>
      <c r="C26" s="14"/>
      <c r="D26" s="67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2:20" ht="22.5" customHeight="1" x14ac:dyDescent="0.25">
      <c r="B27" s="11" t="s">
        <v>42</v>
      </c>
      <c r="C27" s="16"/>
      <c r="D27" s="6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2:20" ht="22.5" customHeight="1" thickBot="1" x14ac:dyDescent="0.3">
      <c r="B28" s="11" t="s">
        <v>43</v>
      </c>
      <c r="C28" s="15"/>
      <c r="D28" s="6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2:20" s="20" customFormat="1" ht="22.5" customHeight="1" x14ac:dyDescent="0.25">
      <c r="B29" s="205" t="s">
        <v>36</v>
      </c>
      <c r="C29" s="205"/>
      <c r="D29" s="20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42"/>
    </row>
    <row r="30" spans="2:20" ht="22.5" customHeight="1" x14ac:dyDescent="0.25">
      <c r="B30" s="199" t="s">
        <v>62</v>
      </c>
      <c r="C30" s="199"/>
      <c r="D30" s="91" t="s">
        <v>35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2:20" ht="22.5" customHeight="1" x14ac:dyDescent="0.25">
      <c r="B31" s="199" t="s">
        <v>141</v>
      </c>
      <c r="C31" s="199"/>
      <c r="D31" s="91" t="s">
        <v>35</v>
      </c>
      <c r="E31" s="36">
        <f>E8-E30</f>
        <v>0</v>
      </c>
      <c r="F31" s="36">
        <f t="shared" ref="F31:S31" si="17">F8-F30</f>
        <v>0</v>
      </c>
      <c r="G31" s="36">
        <f t="shared" si="17"/>
        <v>0</v>
      </c>
      <c r="H31" s="36">
        <f t="shared" si="17"/>
        <v>0</v>
      </c>
      <c r="I31" s="36">
        <f t="shared" si="17"/>
        <v>0</v>
      </c>
      <c r="J31" s="36">
        <f t="shared" si="17"/>
        <v>0</v>
      </c>
      <c r="K31" s="36">
        <f t="shared" si="17"/>
        <v>0</v>
      </c>
      <c r="L31" s="36">
        <f t="shared" si="17"/>
        <v>0</v>
      </c>
      <c r="M31" s="36">
        <f t="shared" si="17"/>
        <v>0</v>
      </c>
      <c r="N31" s="36">
        <f t="shared" si="17"/>
        <v>0</v>
      </c>
      <c r="O31" s="36">
        <f t="shared" si="17"/>
        <v>0</v>
      </c>
      <c r="P31" s="36">
        <f t="shared" si="17"/>
        <v>0</v>
      </c>
      <c r="Q31" s="36">
        <f t="shared" si="17"/>
        <v>0</v>
      </c>
      <c r="R31" s="36">
        <f t="shared" si="17"/>
        <v>0</v>
      </c>
      <c r="S31" s="36">
        <f t="shared" si="17"/>
        <v>0</v>
      </c>
    </row>
    <row r="32" spans="2:20" ht="22.5" customHeight="1" x14ac:dyDescent="0.25">
      <c r="B32" s="202" t="s">
        <v>63</v>
      </c>
      <c r="C32" s="202"/>
      <c r="D32" s="92" t="s">
        <v>35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2:20" ht="22.5" customHeight="1" x14ac:dyDescent="0.25">
      <c r="B33" s="199" t="s">
        <v>61</v>
      </c>
      <c r="C33" s="199"/>
      <c r="D33" s="91" t="s">
        <v>35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2:20" ht="22.5" customHeight="1" thickBot="1" x14ac:dyDescent="0.3">
      <c r="B34" s="200" t="s">
        <v>65</v>
      </c>
      <c r="C34" s="200"/>
      <c r="D34" s="93" t="s">
        <v>35</v>
      </c>
      <c r="E34" s="39">
        <f>E$15-E$32</f>
        <v>0</v>
      </c>
      <c r="F34" s="39">
        <f t="shared" ref="F34:S34" si="18">F$15-F$32</f>
        <v>0</v>
      </c>
      <c r="G34" s="39">
        <f t="shared" si="18"/>
        <v>0</v>
      </c>
      <c r="H34" s="39">
        <f t="shared" si="18"/>
        <v>0</v>
      </c>
      <c r="I34" s="39">
        <f t="shared" si="18"/>
        <v>0</v>
      </c>
      <c r="J34" s="39">
        <f t="shared" si="18"/>
        <v>0</v>
      </c>
      <c r="K34" s="39">
        <f t="shared" si="18"/>
        <v>0</v>
      </c>
      <c r="L34" s="39">
        <f t="shared" si="18"/>
        <v>0</v>
      </c>
      <c r="M34" s="39">
        <f t="shared" si="18"/>
        <v>0</v>
      </c>
      <c r="N34" s="39">
        <f t="shared" si="18"/>
        <v>0</v>
      </c>
      <c r="O34" s="39">
        <f t="shared" si="18"/>
        <v>0</v>
      </c>
      <c r="P34" s="39">
        <f t="shared" si="18"/>
        <v>0</v>
      </c>
      <c r="Q34" s="39">
        <f t="shared" si="18"/>
        <v>0</v>
      </c>
      <c r="R34" s="39">
        <f t="shared" si="18"/>
        <v>0</v>
      </c>
      <c r="S34" s="39">
        <f t="shared" si="18"/>
        <v>0</v>
      </c>
    </row>
    <row r="35" spans="2:20" ht="22.5" customHeight="1" x14ac:dyDescent="0.25">
      <c r="B35" s="201" t="s">
        <v>46</v>
      </c>
      <c r="C35" s="201"/>
      <c r="D35" s="94" t="s">
        <v>35</v>
      </c>
      <c r="E35" s="35">
        <f t="shared" ref="E35:S35" si="19">E15-E24-E33-E32</f>
        <v>0</v>
      </c>
      <c r="F35" s="35">
        <f t="shared" si="19"/>
        <v>0</v>
      </c>
      <c r="G35" s="35">
        <f t="shared" si="19"/>
        <v>0</v>
      </c>
      <c r="H35" s="35">
        <f t="shared" si="19"/>
        <v>0</v>
      </c>
      <c r="I35" s="35">
        <f t="shared" si="19"/>
        <v>0</v>
      </c>
      <c r="J35" s="35">
        <f t="shared" si="19"/>
        <v>0</v>
      </c>
      <c r="K35" s="35">
        <f t="shared" si="19"/>
        <v>0</v>
      </c>
      <c r="L35" s="35">
        <f t="shared" si="19"/>
        <v>0</v>
      </c>
      <c r="M35" s="35">
        <f t="shared" si="19"/>
        <v>0</v>
      </c>
      <c r="N35" s="35">
        <f t="shared" si="19"/>
        <v>0</v>
      </c>
      <c r="O35" s="35">
        <f t="shared" si="19"/>
        <v>0</v>
      </c>
      <c r="P35" s="35">
        <f t="shared" si="19"/>
        <v>0</v>
      </c>
      <c r="Q35" s="35">
        <f t="shared" si="19"/>
        <v>0</v>
      </c>
      <c r="R35" s="35">
        <f t="shared" si="19"/>
        <v>0</v>
      </c>
      <c r="S35" s="35">
        <f t="shared" si="19"/>
        <v>0</v>
      </c>
      <c r="T35" s="43" t="s">
        <v>66</v>
      </c>
    </row>
    <row r="36" spans="2:20" ht="22.5" customHeight="1" x14ac:dyDescent="0.25">
      <c r="B36" s="199" t="s">
        <v>59</v>
      </c>
      <c r="C36" s="199"/>
      <c r="D36" s="91" t="s">
        <v>45</v>
      </c>
      <c r="E36" s="34">
        <f>IFERROR(E$31/E$8,0)</f>
        <v>0</v>
      </c>
      <c r="F36" s="34">
        <f t="shared" ref="F36:S36" si="20">IFERROR(F$31/F$8,0)</f>
        <v>0</v>
      </c>
      <c r="G36" s="34">
        <f t="shared" si="20"/>
        <v>0</v>
      </c>
      <c r="H36" s="34">
        <f t="shared" si="20"/>
        <v>0</v>
      </c>
      <c r="I36" s="34">
        <f t="shared" si="20"/>
        <v>0</v>
      </c>
      <c r="J36" s="34">
        <f t="shared" si="20"/>
        <v>0</v>
      </c>
      <c r="K36" s="34">
        <f t="shared" si="20"/>
        <v>0</v>
      </c>
      <c r="L36" s="34">
        <f t="shared" si="20"/>
        <v>0</v>
      </c>
      <c r="M36" s="34">
        <f t="shared" si="20"/>
        <v>0</v>
      </c>
      <c r="N36" s="34">
        <f t="shared" si="20"/>
        <v>0</v>
      </c>
      <c r="O36" s="34">
        <f t="shared" si="20"/>
        <v>0</v>
      </c>
      <c r="P36" s="34">
        <f t="shared" si="20"/>
        <v>0</v>
      </c>
      <c r="Q36" s="34">
        <f t="shared" si="20"/>
        <v>0</v>
      </c>
      <c r="R36" s="34">
        <f t="shared" si="20"/>
        <v>0</v>
      </c>
      <c r="S36" s="34">
        <f t="shared" si="20"/>
        <v>0</v>
      </c>
    </row>
    <row r="37" spans="2:20" ht="22.5" customHeight="1" x14ac:dyDescent="0.25">
      <c r="B37" s="199" t="s">
        <v>105</v>
      </c>
      <c r="C37" s="199"/>
      <c r="D37" s="91" t="s">
        <v>45</v>
      </c>
      <c r="E37" s="34">
        <f>IFERROR(E$34/E$15,0)</f>
        <v>0</v>
      </c>
      <c r="F37" s="34">
        <f t="shared" ref="F37:S37" si="21">IFERROR(F$34/F$15,0)</f>
        <v>0</v>
      </c>
      <c r="G37" s="34">
        <f t="shared" si="21"/>
        <v>0</v>
      </c>
      <c r="H37" s="34">
        <f t="shared" si="21"/>
        <v>0</v>
      </c>
      <c r="I37" s="34">
        <f t="shared" si="21"/>
        <v>0</v>
      </c>
      <c r="J37" s="34">
        <f t="shared" si="21"/>
        <v>0</v>
      </c>
      <c r="K37" s="34">
        <f t="shared" si="21"/>
        <v>0</v>
      </c>
      <c r="L37" s="34">
        <f t="shared" si="21"/>
        <v>0</v>
      </c>
      <c r="M37" s="34">
        <f t="shared" si="21"/>
        <v>0</v>
      </c>
      <c r="N37" s="34">
        <f t="shared" si="21"/>
        <v>0</v>
      </c>
      <c r="O37" s="34">
        <f t="shared" si="21"/>
        <v>0</v>
      </c>
      <c r="P37" s="34">
        <f t="shared" si="21"/>
        <v>0</v>
      </c>
      <c r="Q37" s="34">
        <f t="shared" si="21"/>
        <v>0</v>
      </c>
      <c r="R37" s="34">
        <f t="shared" si="21"/>
        <v>0</v>
      </c>
      <c r="S37" s="34">
        <f t="shared" si="21"/>
        <v>0</v>
      </c>
    </row>
    <row r="38" spans="2:20" ht="22.5" customHeight="1" thickBot="1" x14ac:dyDescent="0.3">
      <c r="B38" s="199" t="s">
        <v>64</v>
      </c>
      <c r="C38" s="199"/>
      <c r="D38" s="91" t="s">
        <v>45</v>
      </c>
      <c r="E38" s="45">
        <f>IFERROR((E$34+E$31)/(E$15+E$8),0)</f>
        <v>0</v>
      </c>
      <c r="F38" s="45">
        <f t="shared" ref="F38:S38" si="22">IFERROR((F$34+F$31)/(F$15+F$8),0)</f>
        <v>0</v>
      </c>
      <c r="G38" s="45">
        <f t="shared" si="22"/>
        <v>0</v>
      </c>
      <c r="H38" s="45">
        <f t="shared" si="22"/>
        <v>0</v>
      </c>
      <c r="I38" s="45">
        <f t="shared" si="22"/>
        <v>0</v>
      </c>
      <c r="J38" s="45">
        <f t="shared" si="22"/>
        <v>0</v>
      </c>
      <c r="K38" s="45">
        <f t="shared" si="22"/>
        <v>0</v>
      </c>
      <c r="L38" s="45">
        <f t="shared" si="22"/>
        <v>0</v>
      </c>
      <c r="M38" s="45">
        <f t="shared" si="22"/>
        <v>0</v>
      </c>
      <c r="N38" s="45">
        <f t="shared" si="22"/>
        <v>0</v>
      </c>
      <c r="O38" s="45">
        <f t="shared" si="22"/>
        <v>0</v>
      </c>
      <c r="P38" s="45">
        <f t="shared" si="22"/>
        <v>0</v>
      </c>
      <c r="Q38" s="45">
        <f t="shared" si="22"/>
        <v>0</v>
      </c>
      <c r="R38" s="45">
        <f t="shared" si="22"/>
        <v>0</v>
      </c>
      <c r="S38" s="45">
        <f t="shared" si="22"/>
        <v>0</v>
      </c>
    </row>
    <row r="39" spans="2:20" ht="22.5" customHeight="1" thickBot="1" x14ac:dyDescent="0.3">
      <c r="B39" s="199" t="s">
        <v>130</v>
      </c>
      <c r="C39" s="199"/>
      <c r="D39" s="91" t="s">
        <v>35</v>
      </c>
      <c r="E39" s="46">
        <f>AVERAGE(E15:I15)</f>
        <v>0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2:20" ht="22.5" customHeight="1" thickBot="1" x14ac:dyDescent="0.3">
      <c r="B40" s="199" t="s">
        <v>106</v>
      </c>
      <c r="C40" s="199"/>
      <c r="D40" s="91" t="s">
        <v>35</v>
      </c>
      <c r="E40" s="46">
        <f>AVERAGE(E34:I34)</f>
        <v>0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</sheetData>
  <mergeCells count="16">
    <mergeCell ref="E3:S3"/>
    <mergeCell ref="B7:D7"/>
    <mergeCell ref="B16:D16"/>
    <mergeCell ref="B25:D25"/>
    <mergeCell ref="B29:D29"/>
    <mergeCell ref="B40:C40"/>
    <mergeCell ref="B36:C36"/>
    <mergeCell ref="B31:C31"/>
    <mergeCell ref="B37:C37"/>
    <mergeCell ref="B30:C30"/>
    <mergeCell ref="B34:C34"/>
    <mergeCell ref="B35:C35"/>
    <mergeCell ref="B33:C33"/>
    <mergeCell ref="B32:C32"/>
    <mergeCell ref="B38:C38"/>
    <mergeCell ref="B39:C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B1:I47"/>
  <sheetViews>
    <sheetView tabSelected="1" zoomScaleNormal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F51" sqref="F51"/>
    </sheetView>
  </sheetViews>
  <sheetFormatPr defaultRowHeight="15" x14ac:dyDescent="0.25"/>
  <cols>
    <col min="1" max="1" width="3.7109375" customWidth="1"/>
    <col min="2" max="2" width="5.42578125" customWidth="1"/>
    <col min="3" max="3" width="30" style="17" customWidth="1"/>
    <col min="4" max="4" width="7.85546875" customWidth="1"/>
    <col min="5" max="8" width="15.7109375" style="27" customWidth="1"/>
    <col min="9" max="9" width="42.28515625" style="40" customWidth="1"/>
  </cols>
  <sheetData>
    <row r="1" spans="2:9" ht="30" customHeight="1" x14ac:dyDescent="0.35">
      <c r="B1" s="18" t="s">
        <v>77</v>
      </c>
      <c r="C1" s="18"/>
      <c r="D1" s="19"/>
    </row>
    <row r="2" spans="2:9" ht="27.75" customHeight="1" x14ac:dyDescent="0.25">
      <c r="B2" s="7" t="s">
        <v>83</v>
      </c>
      <c r="C2" s="7" t="s">
        <v>40</v>
      </c>
      <c r="D2" s="7" t="s">
        <v>19</v>
      </c>
      <c r="E2" s="203" t="s">
        <v>79</v>
      </c>
      <c r="F2" s="204"/>
      <c r="G2" s="204"/>
      <c r="H2" s="47"/>
    </row>
    <row r="3" spans="2:9" ht="22.5" customHeight="1" thickBot="1" x14ac:dyDescent="0.3">
      <c r="B3" s="8"/>
      <c r="C3" s="8" t="s">
        <v>76</v>
      </c>
      <c r="D3" s="8"/>
      <c r="E3" s="28" t="str">
        <f>"Year "&amp;-('Project Details'!$H$9-1)</f>
        <v>Year 1</v>
      </c>
      <c r="F3" s="28" t="str">
        <f>IF('Project Details'!$H$9&gt;1,"Year "&amp;-('Project Details'!$H$9-2),"")</f>
        <v/>
      </c>
      <c r="G3" s="28" t="str">
        <f>IF('Project Details'!$H$9&gt;2,"Year "&amp;-('Project Details'!$H$9-3),"")</f>
        <v/>
      </c>
      <c r="H3" s="28" t="s">
        <v>94</v>
      </c>
    </row>
    <row r="4" spans="2:9" s="22" customFormat="1" ht="14.25" customHeight="1" thickBot="1" x14ac:dyDescent="0.25">
      <c r="B4" s="23"/>
      <c r="C4" s="23" t="s">
        <v>47</v>
      </c>
      <c r="D4" s="23"/>
      <c r="E4" s="29">
        <f>'Project Details'!F9</f>
        <v>1900</v>
      </c>
      <c r="F4" s="29" t="str">
        <f>IF(F3="","",E4+1)</f>
        <v/>
      </c>
      <c r="G4" s="29" t="str">
        <f>IF(G3="","",F4+1)</f>
        <v/>
      </c>
      <c r="H4" s="29"/>
      <c r="I4" s="41"/>
    </row>
    <row r="5" spans="2:9" s="22" customFormat="1" ht="14.25" customHeight="1" thickBot="1" x14ac:dyDescent="0.25">
      <c r="B5" s="23"/>
      <c r="C5" s="23" t="s">
        <v>50</v>
      </c>
      <c r="D5" s="23"/>
      <c r="E5" s="29" t="str">
        <f>IF(E3="","",((E$4-1)&amp;"-"&amp;(E$4-2000)))</f>
        <v>1899--100</v>
      </c>
      <c r="F5" s="29" t="str">
        <f t="shared" ref="F5:G5" si="0">IF(F3="","",((F$4-1)&amp;"-"&amp;(F$4-2000)))</f>
        <v/>
      </c>
      <c r="G5" s="29" t="str">
        <f t="shared" si="0"/>
        <v/>
      </c>
      <c r="H5" s="29"/>
      <c r="I5" s="41"/>
    </row>
    <row r="6" spans="2:9" s="20" customFormat="1" ht="22.5" customHeight="1" x14ac:dyDescent="0.25">
      <c r="B6" s="205" t="s">
        <v>87</v>
      </c>
      <c r="C6" s="205"/>
      <c r="D6" s="205"/>
      <c r="E6" s="205"/>
      <c r="F6" s="205"/>
      <c r="G6" s="205"/>
      <c r="H6" s="71"/>
      <c r="I6" s="42"/>
    </row>
    <row r="7" spans="2:9" ht="22.5" customHeight="1" x14ac:dyDescent="0.25">
      <c r="B7" s="70">
        <v>1.1000000000000001</v>
      </c>
      <c r="C7" s="14"/>
      <c r="D7" s="65" t="s">
        <v>78</v>
      </c>
      <c r="E7" s="30"/>
      <c r="F7" s="30"/>
      <c r="G7" s="30"/>
      <c r="H7" s="36">
        <f>SUM(E7:G7)</f>
        <v>0</v>
      </c>
    </row>
    <row r="8" spans="2:9" ht="22.5" customHeight="1" x14ac:dyDescent="0.25">
      <c r="B8" s="70">
        <v>1.2</v>
      </c>
      <c r="C8" s="14"/>
      <c r="D8" s="65" t="s">
        <v>78</v>
      </c>
      <c r="E8" s="30"/>
      <c r="F8" s="30"/>
      <c r="G8" s="30"/>
      <c r="H8" s="36">
        <f t="shared" ref="H8:H16" si="1">SUM(E8:G8)</f>
        <v>0</v>
      </c>
    </row>
    <row r="9" spans="2:9" ht="22.5" customHeight="1" x14ac:dyDescent="0.25">
      <c r="B9" s="70">
        <v>1.3</v>
      </c>
      <c r="C9" s="14"/>
      <c r="D9" s="65" t="s">
        <v>78</v>
      </c>
      <c r="E9" s="30"/>
      <c r="F9" s="30"/>
      <c r="G9" s="30"/>
      <c r="H9" s="36">
        <f t="shared" si="1"/>
        <v>0</v>
      </c>
    </row>
    <row r="10" spans="2:9" ht="22.5" customHeight="1" x14ac:dyDescent="0.25">
      <c r="B10" s="70">
        <v>1.4</v>
      </c>
      <c r="C10" s="14"/>
      <c r="D10" s="65" t="s">
        <v>78</v>
      </c>
      <c r="E10" s="30"/>
      <c r="F10" s="30"/>
      <c r="G10" s="30"/>
      <c r="H10" s="36">
        <f t="shared" si="1"/>
        <v>0</v>
      </c>
    </row>
    <row r="11" spans="2:9" ht="22.5" customHeight="1" x14ac:dyDescent="0.25">
      <c r="B11" s="70">
        <v>1.5</v>
      </c>
      <c r="C11" s="14"/>
      <c r="D11" s="65" t="s">
        <v>78</v>
      </c>
      <c r="E11" s="30"/>
      <c r="F11" s="30"/>
      <c r="G11" s="30"/>
      <c r="H11" s="36">
        <f t="shared" si="1"/>
        <v>0</v>
      </c>
    </row>
    <row r="12" spans="2:9" ht="22.5" customHeight="1" x14ac:dyDescent="0.25">
      <c r="B12" s="70">
        <v>1.6</v>
      </c>
      <c r="C12" s="14"/>
      <c r="D12" s="65" t="s">
        <v>78</v>
      </c>
      <c r="E12" s="30"/>
      <c r="F12" s="30"/>
      <c r="G12" s="30"/>
      <c r="H12" s="36">
        <f t="shared" si="1"/>
        <v>0</v>
      </c>
    </row>
    <row r="13" spans="2:9" ht="22.5" customHeight="1" x14ac:dyDescent="0.25">
      <c r="B13" s="70">
        <v>1.7</v>
      </c>
      <c r="C13" s="14"/>
      <c r="D13" s="65" t="s">
        <v>78</v>
      </c>
      <c r="E13" s="30"/>
      <c r="F13" s="30"/>
      <c r="G13" s="30"/>
      <c r="H13" s="36">
        <f t="shared" si="1"/>
        <v>0</v>
      </c>
    </row>
    <row r="14" spans="2:9" ht="22.5" customHeight="1" x14ac:dyDescent="0.25">
      <c r="B14" s="70">
        <v>1.8</v>
      </c>
      <c r="C14" s="14"/>
      <c r="D14" s="65" t="s">
        <v>78</v>
      </c>
      <c r="E14" s="30"/>
      <c r="F14" s="30"/>
      <c r="G14" s="30"/>
      <c r="H14" s="36">
        <f t="shared" si="1"/>
        <v>0</v>
      </c>
    </row>
    <row r="15" spans="2:9" ht="22.5" customHeight="1" x14ac:dyDescent="0.25">
      <c r="B15" s="70">
        <v>1.9</v>
      </c>
      <c r="C15" s="14"/>
      <c r="D15" s="65" t="s">
        <v>78</v>
      </c>
      <c r="E15" s="30"/>
      <c r="F15" s="30"/>
      <c r="G15" s="30"/>
      <c r="H15" s="36">
        <f t="shared" si="1"/>
        <v>0</v>
      </c>
    </row>
    <row r="16" spans="2:9" ht="22.5" customHeight="1" x14ac:dyDescent="0.25">
      <c r="B16" s="70" t="s">
        <v>84</v>
      </c>
      <c r="C16" s="14"/>
      <c r="D16" s="65" t="s">
        <v>78</v>
      </c>
      <c r="E16" s="30"/>
      <c r="F16" s="30"/>
      <c r="G16" s="30"/>
      <c r="H16" s="36">
        <f t="shared" si="1"/>
        <v>0</v>
      </c>
    </row>
    <row r="17" spans="2:9" s="13" customFormat="1" ht="22.5" customHeight="1" thickBot="1" x14ac:dyDescent="0.3">
      <c r="B17" s="209" t="s">
        <v>80</v>
      </c>
      <c r="C17" s="209"/>
      <c r="D17" s="66" t="s">
        <v>78</v>
      </c>
      <c r="E17" s="72">
        <f>SUM(E7:E16)</f>
        <v>0</v>
      </c>
      <c r="F17" s="72">
        <f>SUM(F7:F16)</f>
        <v>0</v>
      </c>
      <c r="G17" s="72">
        <f>SUM(G7:G16)</f>
        <v>0</v>
      </c>
      <c r="H17" s="72">
        <f>SUM(H7:H16)</f>
        <v>0</v>
      </c>
      <c r="I17" s="44"/>
    </row>
    <row r="18" spans="2:9" s="20" customFormat="1" ht="22.5" customHeight="1" x14ac:dyDescent="0.25">
      <c r="B18" s="205" t="s">
        <v>88</v>
      </c>
      <c r="C18" s="205"/>
      <c r="D18" s="205"/>
      <c r="E18" s="205"/>
      <c r="F18" s="205"/>
      <c r="G18" s="205"/>
      <c r="H18" s="73"/>
      <c r="I18" s="42"/>
    </row>
    <row r="19" spans="2:9" ht="22.5" customHeight="1" x14ac:dyDescent="0.25">
      <c r="B19" s="70">
        <v>2.1</v>
      </c>
      <c r="C19" s="14"/>
      <c r="D19" s="65" t="s">
        <v>78</v>
      </c>
      <c r="E19" s="30"/>
      <c r="F19" s="30"/>
      <c r="G19" s="30"/>
      <c r="H19" s="36">
        <f>SUM(E19:G19)</f>
        <v>0</v>
      </c>
    </row>
    <row r="20" spans="2:9" ht="22.5" customHeight="1" x14ac:dyDescent="0.25">
      <c r="B20" s="70">
        <v>2.2000000000000002</v>
      </c>
      <c r="C20" s="14"/>
      <c r="D20" s="65" t="s">
        <v>78</v>
      </c>
      <c r="E20" s="30"/>
      <c r="F20" s="30"/>
      <c r="G20" s="30"/>
      <c r="H20" s="36">
        <f t="shared" ref="H20:H28" si="2">SUM(E20:G20)</f>
        <v>0</v>
      </c>
    </row>
    <row r="21" spans="2:9" ht="22.5" customHeight="1" x14ac:dyDescent="0.25">
      <c r="B21" s="70">
        <v>2.2999999999999998</v>
      </c>
      <c r="C21" s="14"/>
      <c r="D21" s="65" t="s">
        <v>78</v>
      </c>
      <c r="E21" s="30"/>
      <c r="F21" s="30"/>
      <c r="G21" s="30"/>
      <c r="H21" s="36">
        <f t="shared" si="2"/>
        <v>0</v>
      </c>
    </row>
    <row r="22" spans="2:9" ht="22.5" customHeight="1" x14ac:dyDescent="0.25">
      <c r="B22" s="70">
        <v>2.4</v>
      </c>
      <c r="C22" s="14"/>
      <c r="D22" s="65" t="s">
        <v>78</v>
      </c>
      <c r="E22" s="30"/>
      <c r="F22" s="30"/>
      <c r="G22" s="30"/>
      <c r="H22" s="36">
        <f t="shared" si="2"/>
        <v>0</v>
      </c>
    </row>
    <row r="23" spans="2:9" ht="22.5" customHeight="1" x14ac:dyDescent="0.25">
      <c r="B23" s="70">
        <v>2.5</v>
      </c>
      <c r="C23" s="14"/>
      <c r="D23" s="65" t="s">
        <v>78</v>
      </c>
      <c r="E23" s="30"/>
      <c r="F23" s="30"/>
      <c r="G23" s="30"/>
      <c r="H23" s="36">
        <f t="shared" si="2"/>
        <v>0</v>
      </c>
    </row>
    <row r="24" spans="2:9" ht="22.5" customHeight="1" x14ac:dyDescent="0.25">
      <c r="B24" s="70">
        <v>2.6</v>
      </c>
      <c r="C24" s="14"/>
      <c r="D24" s="65" t="s">
        <v>78</v>
      </c>
      <c r="E24" s="30"/>
      <c r="F24" s="30"/>
      <c r="G24" s="30"/>
      <c r="H24" s="36">
        <f t="shared" si="2"/>
        <v>0</v>
      </c>
    </row>
    <row r="25" spans="2:9" ht="22.5" customHeight="1" x14ac:dyDescent="0.25">
      <c r="B25" s="70">
        <v>2.7</v>
      </c>
      <c r="C25" s="14"/>
      <c r="D25" s="65" t="s">
        <v>78</v>
      </c>
      <c r="E25" s="30"/>
      <c r="F25" s="30"/>
      <c r="G25" s="30"/>
      <c r="H25" s="36">
        <f t="shared" si="2"/>
        <v>0</v>
      </c>
    </row>
    <row r="26" spans="2:9" ht="22.5" customHeight="1" x14ac:dyDescent="0.25">
      <c r="B26" s="70">
        <v>2.8</v>
      </c>
      <c r="C26" s="14"/>
      <c r="D26" s="65" t="s">
        <v>78</v>
      </c>
      <c r="E26" s="30"/>
      <c r="F26" s="30"/>
      <c r="G26" s="30"/>
      <c r="H26" s="36">
        <f t="shared" si="2"/>
        <v>0</v>
      </c>
    </row>
    <row r="27" spans="2:9" ht="22.5" customHeight="1" x14ac:dyDescent="0.25">
      <c r="B27" s="70">
        <v>2.9</v>
      </c>
      <c r="C27" s="14"/>
      <c r="D27" s="65" t="s">
        <v>78</v>
      </c>
      <c r="E27" s="30"/>
      <c r="F27" s="30"/>
      <c r="G27" s="30"/>
      <c r="H27" s="36">
        <f t="shared" si="2"/>
        <v>0</v>
      </c>
    </row>
    <row r="28" spans="2:9" ht="22.5" customHeight="1" x14ac:dyDescent="0.25">
      <c r="B28" s="70" t="s">
        <v>85</v>
      </c>
      <c r="C28" s="14"/>
      <c r="D28" s="65" t="s">
        <v>78</v>
      </c>
      <c r="E28" s="30"/>
      <c r="F28" s="30"/>
      <c r="G28" s="30"/>
      <c r="H28" s="36">
        <f t="shared" si="2"/>
        <v>0</v>
      </c>
    </row>
    <row r="29" spans="2:9" s="13" customFormat="1" ht="22.5" customHeight="1" thickBot="1" x14ac:dyDescent="0.3">
      <c r="B29" s="209" t="s">
        <v>81</v>
      </c>
      <c r="C29" s="209"/>
      <c r="D29" s="66" t="s">
        <v>78</v>
      </c>
      <c r="E29" s="72">
        <f>SUM(E19:E28)</f>
        <v>0</v>
      </c>
      <c r="F29" s="72">
        <f t="shared" ref="F29" si="3">SUM(F19:F28)</f>
        <v>0</v>
      </c>
      <c r="G29" s="72">
        <f t="shared" ref="G29:H29" si="4">SUM(G19:G28)</f>
        <v>0</v>
      </c>
      <c r="H29" s="72">
        <f t="shared" si="4"/>
        <v>0</v>
      </c>
      <c r="I29" s="44"/>
    </row>
    <row r="30" spans="2:9" s="20" customFormat="1" ht="22.5" customHeight="1" x14ac:dyDescent="0.25">
      <c r="B30" s="205" t="s">
        <v>89</v>
      </c>
      <c r="C30" s="205"/>
      <c r="D30" s="205"/>
      <c r="E30" s="205"/>
      <c r="F30" s="205"/>
      <c r="G30" s="205"/>
      <c r="H30" s="73"/>
      <c r="I30" s="42"/>
    </row>
    <row r="31" spans="2:9" ht="22.5" customHeight="1" x14ac:dyDescent="0.25">
      <c r="B31" s="70">
        <v>3.1</v>
      </c>
      <c r="C31" s="14"/>
      <c r="D31" s="65" t="s">
        <v>78</v>
      </c>
      <c r="E31" s="30"/>
      <c r="F31" s="30"/>
      <c r="G31" s="30"/>
      <c r="H31" s="36">
        <f>SUM(E31:G31)</f>
        <v>0</v>
      </c>
    </row>
    <row r="32" spans="2:9" ht="22.5" customHeight="1" x14ac:dyDescent="0.25">
      <c r="B32" s="70">
        <v>3.2</v>
      </c>
      <c r="C32" s="14"/>
      <c r="D32" s="65" t="s">
        <v>78</v>
      </c>
      <c r="E32" s="30"/>
      <c r="F32" s="30"/>
      <c r="G32" s="30"/>
      <c r="H32" s="36">
        <f t="shared" ref="H32:H42" si="5">SUM(E32:G32)</f>
        <v>0</v>
      </c>
    </row>
    <row r="33" spans="2:9" ht="22.5" customHeight="1" x14ac:dyDescent="0.25">
      <c r="B33" s="70">
        <v>3.3</v>
      </c>
      <c r="C33" s="14"/>
      <c r="D33" s="65" t="s">
        <v>78</v>
      </c>
      <c r="E33" s="30"/>
      <c r="F33" s="30"/>
      <c r="G33" s="30"/>
      <c r="H33" s="36">
        <f t="shared" si="5"/>
        <v>0</v>
      </c>
    </row>
    <row r="34" spans="2:9" ht="22.5" customHeight="1" x14ac:dyDescent="0.25">
      <c r="B34" s="70">
        <v>3.4</v>
      </c>
      <c r="C34" s="14"/>
      <c r="D34" s="65" t="s">
        <v>78</v>
      </c>
      <c r="E34" s="30"/>
      <c r="F34" s="30"/>
      <c r="G34" s="30"/>
      <c r="H34" s="36">
        <f t="shared" si="5"/>
        <v>0</v>
      </c>
    </row>
    <row r="35" spans="2:9" ht="22.5" customHeight="1" x14ac:dyDescent="0.25">
      <c r="B35" s="70">
        <v>3.5</v>
      </c>
      <c r="C35" s="14"/>
      <c r="D35" s="65" t="s">
        <v>78</v>
      </c>
      <c r="E35" s="30"/>
      <c r="F35" s="30"/>
      <c r="G35" s="30"/>
      <c r="H35" s="36">
        <f t="shared" si="5"/>
        <v>0</v>
      </c>
    </row>
    <row r="36" spans="2:9" ht="22.5" customHeight="1" x14ac:dyDescent="0.25">
      <c r="B36" s="70">
        <v>3.6</v>
      </c>
      <c r="C36" s="14"/>
      <c r="D36" s="65" t="s">
        <v>78</v>
      </c>
      <c r="E36" s="30"/>
      <c r="F36" s="30"/>
      <c r="G36" s="30"/>
      <c r="H36" s="36">
        <f t="shared" si="5"/>
        <v>0</v>
      </c>
    </row>
    <row r="37" spans="2:9" ht="22.5" customHeight="1" x14ac:dyDescent="0.25">
      <c r="B37" s="70">
        <v>3.7</v>
      </c>
      <c r="C37" s="14"/>
      <c r="D37" s="65" t="s">
        <v>78</v>
      </c>
      <c r="E37" s="30"/>
      <c r="F37" s="30"/>
      <c r="G37" s="30"/>
      <c r="H37" s="36">
        <f t="shared" si="5"/>
        <v>0</v>
      </c>
    </row>
    <row r="38" spans="2:9" ht="22.5" customHeight="1" x14ac:dyDescent="0.25">
      <c r="B38" s="70">
        <v>3.8</v>
      </c>
      <c r="C38" s="14"/>
      <c r="D38" s="65" t="s">
        <v>78</v>
      </c>
      <c r="E38" s="30"/>
      <c r="F38" s="30"/>
      <c r="G38" s="30"/>
      <c r="H38" s="36">
        <f t="shared" si="5"/>
        <v>0</v>
      </c>
    </row>
    <row r="39" spans="2:9" ht="22.5" customHeight="1" x14ac:dyDescent="0.25">
      <c r="B39" s="70">
        <v>3.9</v>
      </c>
      <c r="C39" s="14"/>
      <c r="D39" s="65" t="s">
        <v>78</v>
      </c>
      <c r="E39" s="30"/>
      <c r="F39" s="30"/>
      <c r="G39" s="30"/>
      <c r="H39" s="36">
        <f t="shared" si="5"/>
        <v>0</v>
      </c>
    </row>
    <row r="40" spans="2:9" ht="22.5" customHeight="1" x14ac:dyDescent="0.25">
      <c r="B40" s="70" t="s">
        <v>86</v>
      </c>
      <c r="C40" s="14"/>
      <c r="D40" s="65" t="s">
        <v>78</v>
      </c>
      <c r="E40" s="30"/>
      <c r="F40" s="30"/>
      <c r="G40" s="30"/>
      <c r="H40" s="36">
        <f t="shared" si="5"/>
        <v>0</v>
      </c>
    </row>
    <row r="41" spans="2:9" s="13" customFormat="1" ht="22.5" customHeight="1" thickBot="1" x14ac:dyDescent="0.3">
      <c r="B41" s="209" t="s">
        <v>82</v>
      </c>
      <c r="C41" s="209"/>
      <c r="D41" s="66" t="s">
        <v>78</v>
      </c>
      <c r="E41" s="72">
        <f>SUM(E31:E40)</f>
        <v>0</v>
      </c>
      <c r="F41" s="72">
        <f>SUM(F31:F40)</f>
        <v>0</v>
      </c>
      <c r="G41" s="72">
        <f>SUM(G31:G40)</f>
        <v>0</v>
      </c>
      <c r="H41" s="72">
        <f>SUM(H31:H40)</f>
        <v>0</v>
      </c>
      <c r="I41" s="44"/>
    </row>
    <row r="42" spans="2:9" ht="22.5" customHeight="1" x14ac:dyDescent="0.25">
      <c r="B42" s="210" t="s">
        <v>92</v>
      </c>
      <c r="C42" s="210"/>
      <c r="D42" s="65" t="s">
        <v>78</v>
      </c>
      <c r="E42" s="35">
        <f>E41+E29+E17</f>
        <v>0</v>
      </c>
      <c r="F42" s="35">
        <f t="shared" ref="F42:G42" si="6">F41+F29+F17</f>
        <v>0</v>
      </c>
      <c r="G42" s="35">
        <f t="shared" si="6"/>
        <v>0</v>
      </c>
      <c r="H42" s="36">
        <f t="shared" si="5"/>
        <v>0</v>
      </c>
      <c r="I42" s="43" t="s">
        <v>66</v>
      </c>
    </row>
    <row r="43" spans="2:9" ht="22.5" customHeight="1" x14ac:dyDescent="0.25">
      <c r="B43" s="206" t="s">
        <v>93</v>
      </c>
      <c r="C43" s="206"/>
      <c r="D43" s="65" t="s">
        <v>78</v>
      </c>
      <c r="E43" s="30"/>
      <c r="F43" s="30"/>
      <c r="G43" s="30"/>
      <c r="H43" s="36">
        <f t="shared" ref="H43" si="7">SUM(E43:G43)</f>
        <v>0</v>
      </c>
    </row>
    <row r="44" spans="2:9" ht="22.5" customHeight="1" thickBot="1" x14ac:dyDescent="0.3">
      <c r="B44" s="206" t="s">
        <v>101</v>
      </c>
      <c r="C44" s="206"/>
      <c r="D44" s="65" t="s">
        <v>78</v>
      </c>
      <c r="E44" s="78">
        <f>+E17+E29-E43</f>
        <v>0</v>
      </c>
      <c r="F44" s="78">
        <f t="shared" ref="F44:G44" si="8">+F17+F29-F43</f>
        <v>0</v>
      </c>
      <c r="G44" s="78">
        <f t="shared" si="8"/>
        <v>0</v>
      </c>
      <c r="H44" s="36">
        <f t="shared" ref="H44" si="9">SUM(E44:G44)</f>
        <v>0</v>
      </c>
    </row>
    <row r="45" spans="2:9" ht="31.5" customHeight="1" thickBot="1" x14ac:dyDescent="0.3">
      <c r="B45" s="206" t="s">
        <v>95</v>
      </c>
      <c r="C45" s="206"/>
      <c r="D45" s="65" t="s">
        <v>96</v>
      </c>
      <c r="E45" s="74">
        <f>IFERROR(H43/H17,0)</f>
        <v>0</v>
      </c>
      <c r="F45" s="207" t="s">
        <v>212</v>
      </c>
      <c r="G45" s="208"/>
      <c r="H45" s="208"/>
    </row>
    <row r="46" spans="2:9" ht="22.5" customHeight="1" thickBot="1" x14ac:dyDescent="0.3">
      <c r="B46" s="206" t="s">
        <v>97</v>
      </c>
      <c r="C46" s="206"/>
      <c r="D46" s="65" t="s">
        <v>96</v>
      </c>
      <c r="E46" s="74">
        <f>IFERROR(H43/H42,0)</f>
        <v>0</v>
      </c>
      <c r="F46" s="40"/>
      <c r="G46" s="40"/>
      <c r="H46" s="40"/>
    </row>
    <row r="47" spans="2:9" ht="22.5" customHeight="1" thickBot="1" x14ac:dyDescent="0.3">
      <c r="B47" s="206" t="s">
        <v>98</v>
      </c>
      <c r="C47" s="206"/>
      <c r="D47" s="65" t="s">
        <v>99</v>
      </c>
      <c r="E47" s="75">
        <f>IFERROR($H$43/'Material Flows'!$E$40,0)</f>
        <v>0</v>
      </c>
      <c r="F47" s="40"/>
      <c r="G47" s="40"/>
      <c r="H47" s="40"/>
    </row>
  </sheetData>
  <mergeCells count="14">
    <mergeCell ref="B43:C43"/>
    <mergeCell ref="E2:G2"/>
    <mergeCell ref="B6:G6"/>
    <mergeCell ref="B30:G30"/>
    <mergeCell ref="B17:C17"/>
    <mergeCell ref="B41:C41"/>
    <mergeCell ref="B18:G18"/>
    <mergeCell ref="B29:C29"/>
    <mergeCell ref="B42:C42"/>
    <mergeCell ref="B46:C46"/>
    <mergeCell ref="F45:H45"/>
    <mergeCell ref="B47:C47"/>
    <mergeCell ref="B44:C44"/>
    <mergeCell ref="B45:C45"/>
  </mergeCells>
  <pageMargins left="0.7" right="0.7" top="0.75" bottom="0.75" header="0.3" footer="0.3"/>
  <pageSetup paperSize="9" orientation="portrait" r:id="rId1"/>
  <ignoredErrors>
    <ignoredError sqref="B16 B28 B40" numberStoredAsText="1"/>
    <ignoredError sqref="H4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W61"/>
  <sheetViews>
    <sheetView showGridLines="0" zoomScaleNormal="100" zoomScaleSheetLayoutView="106" workbookViewId="0">
      <pane ySplit="3" topLeftCell="A16" activePane="bottomLeft" state="frozen"/>
      <selection pane="bottomLeft" activeCell="I9" sqref="I9"/>
    </sheetView>
  </sheetViews>
  <sheetFormatPr defaultRowHeight="29.25" customHeight="1" x14ac:dyDescent="0.2"/>
  <cols>
    <col min="1" max="1" width="3.42578125" style="55" customWidth="1"/>
    <col min="2" max="2" width="46.42578125" style="55" customWidth="1"/>
    <col min="3" max="17" width="9.5703125" style="55" customWidth="1"/>
    <col min="18" max="18" width="3.28515625" style="55" customWidth="1"/>
    <col min="19" max="19" width="10.7109375" style="55" customWidth="1"/>
    <col min="20" max="16384" width="9.140625" style="55"/>
  </cols>
  <sheetData>
    <row r="1" spans="2:23" ht="29.25" customHeight="1" x14ac:dyDescent="0.35">
      <c r="B1" s="18" t="s">
        <v>201</v>
      </c>
      <c r="C1" s="167"/>
      <c r="D1" s="51"/>
      <c r="E1" s="51"/>
      <c r="F1" s="51"/>
      <c r="G1" s="51"/>
      <c r="H1" s="168"/>
      <c r="M1" s="168"/>
    </row>
    <row r="2" spans="2:23" ht="18.75" customHeight="1" x14ac:dyDescent="0.2">
      <c r="B2" s="169" t="s">
        <v>202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2:23" ht="23.25" customHeight="1" x14ac:dyDescent="0.2">
      <c r="B3" s="181" t="s">
        <v>208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2:23" customFormat="1" ht="21.75" customHeight="1" thickBot="1" x14ac:dyDescent="0.3">
      <c r="B4" s="8" t="s">
        <v>211</v>
      </c>
      <c r="C4" s="28" t="str">
        <f>'Capital Cost Breakdown'!E3</f>
        <v>Year 1</v>
      </c>
      <c r="D4" s="28" t="str">
        <f>'Capital Cost Breakdown'!F3</f>
        <v/>
      </c>
      <c r="E4" s="28" t="str">
        <f>'Capital Cost Breakdown'!G3</f>
        <v/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55"/>
      <c r="S4" s="55"/>
      <c r="T4" s="55"/>
      <c r="U4" s="55"/>
      <c r="V4" s="55"/>
      <c r="W4" s="40"/>
    </row>
    <row r="5" spans="2:23" s="22" customFormat="1" ht="14.25" customHeight="1" thickBot="1" x14ac:dyDescent="0.25">
      <c r="B5" s="23" t="s">
        <v>47</v>
      </c>
      <c r="C5" s="29">
        <f>'Capital Cost Breakdown'!E4</f>
        <v>1900</v>
      </c>
      <c r="D5" s="29" t="str">
        <f>'Capital Cost Breakdown'!F4</f>
        <v/>
      </c>
      <c r="E5" s="29" t="str">
        <f>'Capital Cost Breakdown'!G4</f>
        <v/>
      </c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55"/>
      <c r="S5" s="55"/>
      <c r="T5" s="55"/>
      <c r="U5" s="55"/>
      <c r="V5" s="55"/>
      <c r="W5" s="41"/>
    </row>
    <row r="6" spans="2:23" s="22" customFormat="1" ht="14.25" customHeight="1" thickBot="1" x14ac:dyDescent="0.25">
      <c r="B6" s="23" t="s">
        <v>50</v>
      </c>
      <c r="C6" s="29" t="str">
        <f t="shared" ref="C6:E6" si="0">(C$5-1)&amp;"-"&amp;(C$5-2000)</f>
        <v>1899--100</v>
      </c>
      <c r="D6" s="29" t="e">
        <f t="shared" si="0"/>
        <v>#VALUE!</v>
      </c>
      <c r="E6" s="29" t="e">
        <f t="shared" si="0"/>
        <v>#VALUE!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70"/>
      <c r="S6" s="170"/>
      <c r="T6" s="170"/>
      <c r="U6" s="170"/>
      <c r="V6" s="55"/>
      <c r="W6" s="41"/>
    </row>
    <row r="7" spans="2:23" s="20" customFormat="1" ht="22.5" customHeight="1" thickBot="1" x14ac:dyDescent="0.3">
      <c r="B7" s="205" t="s">
        <v>209</v>
      </c>
      <c r="C7" s="205"/>
      <c r="D7" s="205"/>
      <c r="E7" s="134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55"/>
      <c r="S7" s="55"/>
      <c r="T7" s="42"/>
    </row>
    <row r="8" spans="2:23" ht="34.5" customHeight="1" x14ac:dyDescent="0.2">
      <c r="B8" s="214" t="s">
        <v>188</v>
      </c>
      <c r="C8" s="215"/>
      <c r="D8" s="215"/>
      <c r="E8" s="215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</row>
    <row r="9" spans="2:23" ht="23.25" customHeight="1" x14ac:dyDescent="0.2">
      <c r="B9" s="190" t="s">
        <v>189</v>
      </c>
      <c r="C9" s="191"/>
      <c r="D9" s="191"/>
      <c r="E9" s="19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</row>
    <row r="10" spans="2:23" ht="23.25" customHeight="1" x14ac:dyDescent="0.2">
      <c r="B10" s="70" t="s">
        <v>190</v>
      </c>
      <c r="C10" s="174"/>
      <c r="D10" s="174"/>
      <c r="E10" s="174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</row>
    <row r="11" spans="2:23" ht="23.25" customHeight="1" x14ac:dyDescent="0.2">
      <c r="B11" s="70" t="s">
        <v>191</v>
      </c>
      <c r="C11" s="175"/>
      <c r="D11" s="175"/>
      <c r="E11" s="175"/>
      <c r="F11" s="181"/>
      <c r="G11" s="181"/>
      <c r="H11" s="181"/>
      <c r="I11" s="181"/>
      <c r="J11" s="181"/>
      <c r="K11" s="181"/>
      <c r="L11" s="181"/>
      <c r="M11" s="181"/>
      <c r="N11" s="196"/>
      <c r="O11" s="181"/>
      <c r="P11" s="181"/>
      <c r="Q11" s="181"/>
    </row>
    <row r="12" spans="2:23" ht="23.25" customHeight="1" x14ac:dyDescent="0.2">
      <c r="B12" s="70" t="s">
        <v>192</v>
      </c>
      <c r="C12" s="175"/>
      <c r="D12" s="175"/>
      <c r="E12" s="175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</row>
    <row r="13" spans="2:23" ht="23.25" customHeight="1" x14ac:dyDescent="0.2">
      <c r="B13" s="70" t="s">
        <v>193</v>
      </c>
      <c r="C13" s="175"/>
      <c r="D13" s="175"/>
      <c r="E13" s="175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</row>
    <row r="14" spans="2:23" ht="23.25" customHeight="1" x14ac:dyDescent="0.2">
      <c r="B14" s="70" t="s">
        <v>194</v>
      </c>
      <c r="C14" s="175"/>
      <c r="D14" s="175"/>
      <c r="E14" s="175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2:23" ht="23.25" customHeight="1" x14ac:dyDescent="0.2">
      <c r="B15" s="70" t="s">
        <v>195</v>
      </c>
      <c r="C15" s="175"/>
      <c r="D15" s="175"/>
      <c r="E15" s="175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2:23" ht="23.25" customHeight="1" x14ac:dyDescent="0.2">
      <c r="B16" s="176" t="s">
        <v>196</v>
      </c>
      <c r="C16" s="177"/>
      <c r="D16" s="177"/>
      <c r="E16" s="177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2:17" s="178" customFormat="1" ht="23.25" customHeight="1" thickBot="1" x14ac:dyDescent="0.3">
      <c r="B17" s="180" t="s">
        <v>94</v>
      </c>
      <c r="C17" s="179">
        <f>SUM(C10:C16)</f>
        <v>0</v>
      </c>
      <c r="D17" s="179">
        <f t="shared" ref="D17:E17" si="1">SUM(D10:D16)</f>
        <v>0</v>
      </c>
      <c r="E17" s="179">
        <f t="shared" si="1"/>
        <v>0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2:17" ht="23.25" customHeight="1" thickBot="1" x14ac:dyDescent="0.25">
      <c r="B18" s="183" t="s">
        <v>205</v>
      </c>
      <c r="C18" s="182"/>
      <c r="D18" s="182"/>
      <c r="E18" s="182"/>
      <c r="F18" s="182"/>
      <c r="G18" s="182"/>
      <c r="H18" s="182"/>
      <c r="I18" s="182"/>
      <c r="J18" s="182"/>
      <c r="K18" s="185"/>
      <c r="L18" s="181"/>
      <c r="M18" s="181"/>
      <c r="N18" s="181"/>
      <c r="O18" s="181"/>
      <c r="P18" s="181"/>
      <c r="Q18" s="181"/>
    </row>
    <row r="19" spans="2:17" ht="23.25" customHeight="1" x14ac:dyDescent="0.2">
      <c r="B19" s="181" t="s">
        <v>199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2:17" ht="23.25" customHeight="1" thickBot="1" x14ac:dyDescent="0.25">
      <c r="B20" s="171"/>
      <c r="C20" s="171"/>
      <c r="D20" s="171"/>
      <c r="E20" s="171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</row>
    <row r="21" spans="2:17" ht="23.25" customHeight="1" x14ac:dyDescent="0.2">
      <c r="B21" s="183" t="s">
        <v>203</v>
      </c>
      <c r="C21" s="184"/>
      <c r="D21" s="184"/>
      <c r="E21" s="184"/>
      <c r="F21" s="172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2:17" ht="23.25" customHeight="1" thickBot="1" x14ac:dyDescent="0.25">
      <c r="B22" s="8" t="s">
        <v>211</v>
      </c>
      <c r="C22" s="28" t="str">
        <f>C4</f>
        <v>Year 1</v>
      </c>
      <c r="D22" s="28" t="str">
        <f t="shared" ref="D22:E22" si="2">D4</f>
        <v/>
      </c>
      <c r="E22" s="28" t="str">
        <f t="shared" si="2"/>
        <v/>
      </c>
      <c r="F22" s="172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2:17" ht="23.25" customHeight="1" x14ac:dyDescent="0.2">
      <c r="B23" s="193" t="s">
        <v>189</v>
      </c>
      <c r="C23" s="194"/>
      <c r="D23" s="194"/>
      <c r="E23" s="194"/>
      <c r="F23" s="172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2:17" ht="23.25" customHeight="1" x14ac:dyDescent="0.2">
      <c r="B24" s="70" t="s">
        <v>190</v>
      </c>
      <c r="C24" s="186"/>
      <c r="D24" s="186"/>
      <c r="E24" s="195"/>
      <c r="F24" s="172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2:17" ht="23.25" customHeight="1" x14ac:dyDescent="0.2">
      <c r="B25" s="70" t="s">
        <v>191</v>
      </c>
      <c r="C25" s="186"/>
      <c r="D25" s="186"/>
      <c r="E25" s="195"/>
      <c r="F25" s="172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6" spans="2:17" ht="23.25" customHeight="1" x14ac:dyDescent="0.2">
      <c r="B26" s="70" t="s">
        <v>192</v>
      </c>
      <c r="C26" s="186"/>
      <c r="D26" s="186"/>
      <c r="E26" s="195"/>
      <c r="F26" s="172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</row>
    <row r="27" spans="2:17" ht="23.25" customHeight="1" x14ac:dyDescent="0.2">
      <c r="B27" s="70" t="s">
        <v>193</v>
      </c>
      <c r="C27" s="186"/>
      <c r="D27" s="186"/>
      <c r="E27" s="195"/>
      <c r="F27" s="172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2:17" ht="23.25" customHeight="1" x14ac:dyDescent="0.2">
      <c r="B28" s="70" t="s">
        <v>194</v>
      </c>
      <c r="C28" s="186"/>
      <c r="D28" s="186"/>
      <c r="E28" s="195"/>
      <c r="F28" s="172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2:17" ht="23.25" customHeight="1" x14ac:dyDescent="0.2">
      <c r="B29" s="70" t="s">
        <v>195</v>
      </c>
      <c r="C29" s="186"/>
      <c r="D29" s="186"/>
      <c r="E29" s="195"/>
      <c r="F29" s="172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2:17" ht="23.25" customHeight="1" x14ac:dyDescent="0.2">
      <c r="B30" s="70" t="s">
        <v>196</v>
      </c>
      <c r="C30" s="186"/>
      <c r="D30" s="186"/>
      <c r="E30" s="195"/>
      <c r="F30" s="172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2:17" ht="23.25" customHeight="1" x14ac:dyDescent="0.2">
      <c r="B31" s="181" t="s">
        <v>197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</row>
    <row r="32" spans="2:17" ht="23.25" customHeight="1" x14ac:dyDescent="0.2">
      <c r="B32" s="181" t="s">
        <v>206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</row>
    <row r="33" spans="2:23" ht="14.25" customHeight="1" thickBot="1" x14ac:dyDescent="0.25"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</row>
    <row r="34" spans="2:23" ht="23.25" customHeight="1" thickBot="1" x14ac:dyDescent="0.25">
      <c r="B34" s="205" t="s">
        <v>210</v>
      </c>
      <c r="C34" s="205"/>
      <c r="D34" s="20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23" ht="23.25" customHeight="1" x14ac:dyDescent="0.2">
      <c r="B35" s="214" t="s">
        <v>198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6"/>
    </row>
    <row r="36" spans="2:23" ht="23.25" customHeight="1" thickBot="1" x14ac:dyDescent="0.25">
      <c r="B36" s="8" t="s">
        <v>21</v>
      </c>
      <c r="C36" s="28" t="str">
        <f>'Material Flows'!E4</f>
        <v>Year 1</v>
      </c>
      <c r="D36" s="28" t="str">
        <f>'Material Flows'!F4</f>
        <v>Year 2</v>
      </c>
      <c r="E36" s="28" t="str">
        <f>'Material Flows'!G4</f>
        <v>Year 3</v>
      </c>
      <c r="F36" s="28" t="str">
        <f>'Material Flows'!H4</f>
        <v>Year 4</v>
      </c>
      <c r="G36" s="28" t="str">
        <f>'Material Flows'!I4</f>
        <v>Year 5</v>
      </c>
      <c r="H36" s="28" t="str">
        <f>'Material Flows'!J4</f>
        <v>Year 6</v>
      </c>
      <c r="I36" s="28" t="str">
        <f>'Material Flows'!K4</f>
        <v>Year 7</v>
      </c>
      <c r="J36" s="28" t="str">
        <f>'Material Flows'!L4</f>
        <v>Year 8</v>
      </c>
      <c r="K36" s="28" t="str">
        <f>'Material Flows'!M4</f>
        <v>Year 9</v>
      </c>
      <c r="L36" s="28" t="str">
        <f>'Material Flows'!N4</f>
        <v>Year 10</v>
      </c>
      <c r="M36" s="28" t="str">
        <f>'Material Flows'!O4</f>
        <v>Year 11</v>
      </c>
      <c r="N36" s="28" t="str">
        <f>'Material Flows'!P4</f>
        <v>Year 12</v>
      </c>
      <c r="O36" s="28" t="str">
        <f>'Material Flows'!Q4</f>
        <v>Year 13</v>
      </c>
      <c r="P36" s="28" t="str">
        <f>'Material Flows'!R4</f>
        <v>Year 14</v>
      </c>
      <c r="Q36" s="28" t="str">
        <f>'Material Flows'!S4</f>
        <v>Year 15</v>
      </c>
    </row>
    <row r="37" spans="2:23" s="22" customFormat="1" ht="14.25" customHeight="1" thickBot="1" x14ac:dyDescent="0.25">
      <c r="B37" s="23" t="s">
        <v>47</v>
      </c>
      <c r="C37" s="29">
        <f>'Material Flows'!E5</f>
        <v>1900</v>
      </c>
      <c r="D37" s="29">
        <f>'Material Flows'!F5</f>
        <v>1901</v>
      </c>
      <c r="E37" s="29">
        <f>'Material Flows'!G5</f>
        <v>1902</v>
      </c>
      <c r="F37" s="29">
        <f>'Material Flows'!H5</f>
        <v>1903</v>
      </c>
      <c r="G37" s="29">
        <f>'Material Flows'!I5</f>
        <v>1904</v>
      </c>
      <c r="H37" s="29">
        <f>'Material Flows'!J5</f>
        <v>1905</v>
      </c>
      <c r="I37" s="29">
        <f>'Material Flows'!K5</f>
        <v>1906</v>
      </c>
      <c r="J37" s="29">
        <f>'Material Flows'!L5</f>
        <v>1907</v>
      </c>
      <c r="K37" s="29">
        <f>'Material Flows'!M5</f>
        <v>1908</v>
      </c>
      <c r="L37" s="29">
        <f>'Material Flows'!N5</f>
        <v>1909</v>
      </c>
      <c r="M37" s="29">
        <f>'Material Flows'!O5</f>
        <v>1910</v>
      </c>
      <c r="N37" s="29">
        <f>'Material Flows'!P5</f>
        <v>1911</v>
      </c>
      <c r="O37" s="29">
        <f>'Material Flows'!Q5</f>
        <v>1912</v>
      </c>
      <c r="P37" s="29">
        <f>'Material Flows'!R5</f>
        <v>1913</v>
      </c>
      <c r="Q37" s="29">
        <f>'Material Flows'!S5</f>
        <v>1914</v>
      </c>
      <c r="R37" s="55"/>
      <c r="S37" s="55"/>
      <c r="T37" s="55"/>
      <c r="U37" s="55"/>
      <c r="V37" s="55"/>
      <c r="W37" s="41"/>
    </row>
    <row r="38" spans="2:23" s="22" customFormat="1" ht="14.25" customHeight="1" thickBot="1" x14ac:dyDescent="0.25">
      <c r="B38" s="23" t="s">
        <v>50</v>
      </c>
      <c r="C38" s="29" t="str">
        <f>(C$37-1)&amp;"-"&amp;(C$37-2000)</f>
        <v>1899--100</v>
      </c>
      <c r="D38" s="29" t="str">
        <f t="shared" ref="D38:Q38" si="3">(D$37-1)&amp;"-"&amp;(D$37-2000)</f>
        <v>1900--99</v>
      </c>
      <c r="E38" s="29" t="str">
        <f t="shared" si="3"/>
        <v>1901--98</v>
      </c>
      <c r="F38" s="29" t="str">
        <f t="shared" si="3"/>
        <v>1902--97</v>
      </c>
      <c r="G38" s="29" t="str">
        <f t="shared" si="3"/>
        <v>1903--96</v>
      </c>
      <c r="H38" s="29" t="str">
        <f t="shared" si="3"/>
        <v>1904--95</v>
      </c>
      <c r="I38" s="29" t="str">
        <f t="shared" si="3"/>
        <v>1905--94</v>
      </c>
      <c r="J38" s="29" t="str">
        <f t="shared" si="3"/>
        <v>1906--93</v>
      </c>
      <c r="K38" s="29" t="str">
        <f t="shared" si="3"/>
        <v>1907--92</v>
      </c>
      <c r="L38" s="29" t="str">
        <f t="shared" si="3"/>
        <v>1908--91</v>
      </c>
      <c r="M38" s="29" t="str">
        <f t="shared" si="3"/>
        <v>1909--90</v>
      </c>
      <c r="N38" s="29" t="str">
        <f t="shared" si="3"/>
        <v>1910--89</v>
      </c>
      <c r="O38" s="29" t="str">
        <f t="shared" si="3"/>
        <v>1911--88</v>
      </c>
      <c r="P38" s="29" t="str">
        <f t="shared" si="3"/>
        <v>1912--87</v>
      </c>
      <c r="Q38" s="29" t="str">
        <f t="shared" si="3"/>
        <v>1913--86</v>
      </c>
      <c r="R38" s="170"/>
      <c r="S38" s="170"/>
      <c r="T38" s="170"/>
      <c r="U38" s="170"/>
      <c r="V38" s="55"/>
      <c r="W38" s="41"/>
    </row>
    <row r="39" spans="2:23" ht="23.25" customHeight="1" x14ac:dyDescent="0.2">
      <c r="B39" s="211" t="s">
        <v>189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</row>
    <row r="40" spans="2:23" ht="23.25" customHeight="1" x14ac:dyDescent="0.2">
      <c r="B40" s="70" t="s">
        <v>190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2:23" ht="23.25" customHeight="1" x14ac:dyDescent="0.2">
      <c r="B41" s="70" t="s">
        <v>191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</row>
    <row r="42" spans="2:23" ht="23.25" customHeight="1" x14ac:dyDescent="0.2">
      <c r="B42" s="70" t="s">
        <v>192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2:23" ht="23.25" customHeight="1" x14ac:dyDescent="0.2">
      <c r="B43" s="70" t="s">
        <v>193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2:23" ht="23.25" customHeight="1" x14ac:dyDescent="0.2">
      <c r="B44" s="70" t="s">
        <v>194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2:23" ht="23.25" customHeight="1" x14ac:dyDescent="0.2">
      <c r="B45" s="70" t="s">
        <v>195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2:23" ht="23.25" customHeight="1" x14ac:dyDescent="0.2">
      <c r="B46" s="70" t="s">
        <v>196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2:23" ht="23.25" customHeight="1" thickBot="1" x14ac:dyDescent="0.25">
      <c r="B47" s="180" t="s">
        <v>94</v>
      </c>
      <c r="C47" s="179">
        <f>SUM(C40:C46)</f>
        <v>0</v>
      </c>
      <c r="D47" s="179">
        <f t="shared" ref="D47" si="4">SUM(D40:D46)</f>
        <v>0</v>
      </c>
      <c r="E47" s="179">
        <f t="shared" ref="E47" si="5">SUM(E40:E46)</f>
        <v>0</v>
      </c>
      <c r="F47" s="179">
        <f t="shared" ref="F47" si="6">SUM(F40:F46)</f>
        <v>0</v>
      </c>
      <c r="G47" s="179">
        <f t="shared" ref="G47" si="7">SUM(G40:G46)</f>
        <v>0</v>
      </c>
      <c r="H47" s="179">
        <f t="shared" ref="H47" si="8">SUM(H40:H46)</f>
        <v>0</v>
      </c>
      <c r="I47" s="179">
        <f t="shared" ref="I47" si="9">SUM(I40:I46)</f>
        <v>0</v>
      </c>
      <c r="J47" s="179">
        <f t="shared" ref="J47" si="10">SUM(J40:J46)</f>
        <v>0</v>
      </c>
      <c r="K47" s="179">
        <f t="shared" ref="K47" si="11">SUM(K40:K46)</f>
        <v>0</v>
      </c>
      <c r="L47" s="179">
        <f t="shared" ref="L47" si="12">SUM(L40:L46)</f>
        <v>0</v>
      </c>
      <c r="M47" s="179">
        <f t="shared" ref="M47" si="13">SUM(M40:M46)</f>
        <v>0</v>
      </c>
      <c r="N47" s="179">
        <f t="shared" ref="N47" si="14">SUM(N40:N46)</f>
        <v>0</v>
      </c>
      <c r="O47" s="179">
        <f t="shared" ref="O47" si="15">SUM(O40:O46)</f>
        <v>0</v>
      </c>
      <c r="P47" s="179">
        <f t="shared" ref="P47:Q47" si="16">SUM(P40:P46)</f>
        <v>0</v>
      </c>
      <c r="Q47" s="179">
        <f t="shared" si="16"/>
        <v>0</v>
      </c>
    </row>
    <row r="48" spans="2:23" ht="23.25" customHeight="1" x14ac:dyDescent="0.2">
      <c r="B48" s="181" t="s">
        <v>199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</row>
    <row r="49" spans="2:17" ht="14.25" customHeight="1" thickBot="1" x14ac:dyDescent="0.25">
      <c r="B49" s="172"/>
      <c r="C49" s="170"/>
      <c r="D49" s="170"/>
      <c r="E49" s="170"/>
      <c r="F49" s="170"/>
      <c r="G49" s="170"/>
      <c r="H49" s="170"/>
      <c r="I49" s="170"/>
      <c r="J49" s="170"/>
      <c r="K49" s="170"/>
      <c r="L49" s="173"/>
      <c r="M49" s="170"/>
      <c r="N49" s="170"/>
      <c r="O49" s="170"/>
      <c r="P49" s="170"/>
      <c r="Q49" s="173"/>
    </row>
    <row r="50" spans="2:17" ht="23.25" customHeight="1" x14ac:dyDescent="0.2">
      <c r="B50" s="214" t="s">
        <v>200</v>
      </c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6"/>
    </row>
    <row r="51" spans="2:17" ht="23.25" customHeight="1" thickBot="1" x14ac:dyDescent="0.25">
      <c r="B51" s="8" t="s">
        <v>21</v>
      </c>
      <c r="C51" s="28" t="str">
        <f>C36</f>
        <v>Year 1</v>
      </c>
      <c r="D51" s="28" t="str">
        <f t="shared" ref="D51:Q51" si="17">D36</f>
        <v>Year 2</v>
      </c>
      <c r="E51" s="28" t="str">
        <f t="shared" si="17"/>
        <v>Year 3</v>
      </c>
      <c r="F51" s="28" t="str">
        <f t="shared" si="17"/>
        <v>Year 4</v>
      </c>
      <c r="G51" s="28" t="str">
        <f t="shared" si="17"/>
        <v>Year 5</v>
      </c>
      <c r="H51" s="28" t="str">
        <f t="shared" si="17"/>
        <v>Year 6</v>
      </c>
      <c r="I51" s="28" t="str">
        <f t="shared" si="17"/>
        <v>Year 7</v>
      </c>
      <c r="J51" s="28" t="str">
        <f t="shared" si="17"/>
        <v>Year 8</v>
      </c>
      <c r="K51" s="28" t="str">
        <f t="shared" si="17"/>
        <v>Year 9</v>
      </c>
      <c r="L51" s="28" t="str">
        <f t="shared" si="17"/>
        <v>Year 10</v>
      </c>
      <c r="M51" s="28" t="str">
        <f t="shared" si="17"/>
        <v>Year 11</v>
      </c>
      <c r="N51" s="28" t="str">
        <f t="shared" si="17"/>
        <v>Year 12</v>
      </c>
      <c r="O51" s="28" t="str">
        <f t="shared" si="17"/>
        <v>Year 13</v>
      </c>
      <c r="P51" s="28" t="str">
        <f t="shared" si="17"/>
        <v>Year 14</v>
      </c>
      <c r="Q51" s="28" t="str">
        <f t="shared" si="17"/>
        <v>Year 15</v>
      </c>
    </row>
    <row r="52" spans="2:17" ht="23.25" customHeight="1" x14ac:dyDescent="0.2">
      <c r="B52" s="211" t="s">
        <v>189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3"/>
    </row>
    <row r="53" spans="2:17" ht="23.25" customHeight="1" x14ac:dyDescent="0.2">
      <c r="B53" s="70" t="s">
        <v>190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</row>
    <row r="54" spans="2:17" ht="23.25" customHeight="1" x14ac:dyDescent="0.2">
      <c r="B54" s="70" t="s">
        <v>191</v>
      </c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2:17" ht="23.25" customHeight="1" x14ac:dyDescent="0.2">
      <c r="B55" s="70" t="s">
        <v>192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</row>
    <row r="56" spans="2:17" ht="23.25" customHeight="1" x14ac:dyDescent="0.2">
      <c r="B56" s="70" t="s">
        <v>193</v>
      </c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</row>
    <row r="57" spans="2:17" ht="23.25" customHeight="1" x14ac:dyDescent="0.2">
      <c r="B57" s="70" t="s">
        <v>194</v>
      </c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</row>
    <row r="58" spans="2:17" ht="23.25" customHeight="1" x14ac:dyDescent="0.2">
      <c r="B58" s="70" t="s">
        <v>195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</row>
    <row r="59" spans="2:17" ht="23.25" customHeight="1" x14ac:dyDescent="0.2">
      <c r="B59" s="70" t="s">
        <v>196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</row>
    <row r="60" spans="2:17" ht="23.25" customHeight="1" x14ac:dyDescent="0.2">
      <c r="B60" s="181" t="s">
        <v>197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</row>
    <row r="61" spans="2:17" ht="23.25" customHeight="1" x14ac:dyDescent="0.2">
      <c r="B61" s="181" t="s">
        <v>207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</sheetData>
  <mergeCells count="7">
    <mergeCell ref="B52:Q52"/>
    <mergeCell ref="B35:Q35"/>
    <mergeCell ref="B7:D7"/>
    <mergeCell ref="B8:E8"/>
    <mergeCell ref="B34:D34"/>
    <mergeCell ref="B39:Q39"/>
    <mergeCell ref="B50:Q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rowBreaks count="1" manualBreakCount="1">
    <brk id="3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V38"/>
  <sheetViews>
    <sheetView zoomScaleNormal="100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H15" sqref="H15"/>
    </sheetView>
  </sheetViews>
  <sheetFormatPr defaultRowHeight="17.25" customHeight="1" x14ac:dyDescent="0.2"/>
  <cols>
    <col min="1" max="1" width="3.85546875" style="9" customWidth="1"/>
    <col min="2" max="2" width="36" style="9" customWidth="1"/>
    <col min="3" max="3" width="23.7109375" style="50" customWidth="1"/>
    <col min="4" max="6" width="13.7109375" style="9" customWidth="1"/>
    <col min="7" max="21" width="12.5703125" style="9" customWidth="1"/>
    <col min="22" max="16384" width="9.140625" style="9"/>
  </cols>
  <sheetData>
    <row r="1" spans="1:22" s="26" customFormat="1" ht="30" customHeight="1" x14ac:dyDescent="0.35">
      <c r="B1" s="18" t="s">
        <v>67</v>
      </c>
      <c r="C1" s="128"/>
      <c r="D1" s="1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</row>
    <row r="2" spans="1:22" s="26" customFormat="1" ht="24.75" customHeight="1" x14ac:dyDescent="0.2">
      <c r="B2" s="77" t="s">
        <v>116</v>
      </c>
      <c r="C2" s="129"/>
      <c r="D2" s="50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</row>
    <row r="3" spans="1:22" ht="17.25" customHeight="1" x14ac:dyDescent="0.2">
      <c r="B3" s="24" t="s">
        <v>49</v>
      </c>
      <c r="C3" s="130"/>
      <c r="D3" s="25"/>
      <c r="E3" s="25"/>
      <c r="F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</row>
    <row r="4" spans="1:22" ht="17.25" customHeight="1" x14ac:dyDescent="0.2">
      <c r="A4" s="48"/>
      <c r="B4" s="48"/>
      <c r="C4" s="48"/>
      <c r="D4" s="48"/>
      <c r="E4" s="48"/>
      <c r="F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1:22" ht="17.25" customHeight="1" x14ac:dyDescent="0.2">
      <c r="D5" s="76"/>
      <c r="F5" s="76" t="s">
        <v>108</v>
      </c>
      <c r="G5" s="76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9"/>
    </row>
    <row r="6" spans="1:22" ht="17.25" customHeight="1" x14ac:dyDescent="0.2">
      <c r="D6" s="166" t="str">
        <f>IF(D$8='Project Details'!$F$9,"Construction start","")</f>
        <v/>
      </c>
      <c r="E6" s="166" t="str">
        <f>IF(E$8='Project Details'!$F$9,"Construction start","")</f>
        <v/>
      </c>
      <c r="F6" s="166" t="str">
        <f>IF(F$8='Project Details'!$F$9,"Construction start","")</f>
        <v/>
      </c>
      <c r="G6" s="163" t="s">
        <v>186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</row>
    <row r="7" spans="1:22" ht="17.25" customHeight="1" thickBot="1" x14ac:dyDescent="0.25">
      <c r="D7" s="28" t="str">
        <f>IF('Project Details'!$H$9&gt;2,"Year -2","")</f>
        <v/>
      </c>
      <c r="E7" s="28" t="str">
        <f>IF('Project Details'!$H$9&gt;1,"Year -1","")</f>
        <v/>
      </c>
      <c r="F7" s="28" t="str">
        <f>IF('Project Details'!$H$9&gt;0,"Year 0","")</f>
        <v/>
      </c>
      <c r="G7" s="28" t="s">
        <v>22</v>
      </c>
      <c r="H7" s="28" t="s">
        <v>23</v>
      </c>
      <c r="I7" s="28" t="s">
        <v>24</v>
      </c>
      <c r="J7" s="28" t="s">
        <v>25</v>
      </c>
      <c r="K7" s="28" t="s">
        <v>26</v>
      </c>
      <c r="L7" s="28" t="s">
        <v>27</v>
      </c>
      <c r="M7" s="28" t="s">
        <v>28</v>
      </c>
      <c r="N7" s="28" t="s">
        <v>29</v>
      </c>
      <c r="O7" s="28" t="s">
        <v>30</v>
      </c>
      <c r="P7" s="28" t="s">
        <v>31</v>
      </c>
      <c r="Q7" s="28" t="s">
        <v>32</v>
      </c>
      <c r="R7" s="28" t="s">
        <v>33</v>
      </c>
      <c r="S7" s="28" t="s">
        <v>37</v>
      </c>
      <c r="T7" s="28" t="s">
        <v>38</v>
      </c>
      <c r="U7" s="28" t="s">
        <v>39</v>
      </c>
      <c r="V7" s="49"/>
    </row>
    <row r="8" spans="1:22" s="83" customFormat="1" ht="19.5" customHeight="1" x14ac:dyDescent="0.25">
      <c r="B8" s="81" t="s">
        <v>1</v>
      </c>
      <c r="C8" s="131"/>
      <c r="D8" s="82" t="str">
        <f>INDEX('Capital Cost Breakdown'!$E$4:$G$4,1,MATCH(D$7,'Capital Cost Breakdown'!$E$3:$G$3,0))</f>
        <v/>
      </c>
      <c r="E8" s="82" t="str">
        <f>INDEX('Capital Cost Breakdown'!$E$4:$G$4,1,MATCH(E$7,'Capital Cost Breakdown'!$E$3:$G$3,0))</f>
        <v/>
      </c>
      <c r="F8" s="82" t="str">
        <f>INDEX('Capital Cost Breakdown'!$E$4:$G$4,1,MATCH(F$7,'Capital Cost Breakdown'!$E$3:$G$3,0))</f>
        <v/>
      </c>
      <c r="G8" s="82">
        <f>'Project Details'!$F$10</f>
        <v>1900</v>
      </c>
      <c r="H8" s="82">
        <f>G8+1</f>
        <v>1901</v>
      </c>
      <c r="I8" s="82">
        <f t="shared" ref="I8" si="0">H8+1</f>
        <v>1902</v>
      </c>
      <c r="J8" s="82">
        <f t="shared" ref="J8" si="1">I8+1</f>
        <v>1903</v>
      </c>
      <c r="K8" s="82">
        <f t="shared" ref="K8" si="2">J8+1</f>
        <v>1904</v>
      </c>
      <c r="L8" s="82">
        <f t="shared" ref="L8" si="3">K8+1</f>
        <v>1905</v>
      </c>
      <c r="M8" s="82">
        <f t="shared" ref="M8" si="4">L8+1</f>
        <v>1906</v>
      </c>
      <c r="N8" s="82">
        <f t="shared" ref="N8" si="5">M8+1</f>
        <v>1907</v>
      </c>
      <c r="O8" s="82">
        <f t="shared" ref="O8" si="6">N8+1</f>
        <v>1908</v>
      </c>
      <c r="P8" s="82">
        <f t="shared" ref="P8" si="7">O8+1</f>
        <v>1909</v>
      </c>
      <c r="Q8" s="82">
        <f t="shared" ref="Q8" si="8">P8+1</f>
        <v>1910</v>
      </c>
      <c r="R8" s="82">
        <f t="shared" ref="R8" si="9">Q8+1</f>
        <v>1911</v>
      </c>
      <c r="S8" s="82">
        <f t="shared" ref="S8" si="10">R8+1</f>
        <v>1912</v>
      </c>
      <c r="T8" s="82">
        <f t="shared" ref="T8" si="11">S8+1</f>
        <v>1913</v>
      </c>
      <c r="U8" s="82">
        <f t="shared" ref="U8" si="12">T8+1</f>
        <v>1914</v>
      </c>
    </row>
    <row r="9" spans="1:22" s="83" customFormat="1" ht="19.5" customHeight="1" x14ac:dyDescent="0.25">
      <c r="B9" s="84" t="s">
        <v>90</v>
      </c>
      <c r="C9" s="133"/>
      <c r="D9" s="79">
        <f>INDEX('Capital Cost Breakdown'!$E$17:$G$17,MATCH(D$8,'Capital Cost Breakdown'!$E$4:$G$4,0))</f>
        <v>0</v>
      </c>
      <c r="E9" s="79">
        <f>INDEX('Capital Cost Breakdown'!$E$17:$G$17,MATCH(E$8,'Capital Cost Breakdown'!$E$4:$G$4,0))</f>
        <v>0</v>
      </c>
      <c r="F9" s="79">
        <f>INDEX('Capital Cost Breakdown'!$E$17:$G$17,MATCH(F$8,'Capital Cost Breakdown'!$E$4:$G$4,0))</f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2" s="83" customFormat="1" ht="19.5" customHeight="1" x14ac:dyDescent="0.25">
      <c r="B10" s="84" t="s">
        <v>91</v>
      </c>
      <c r="C10" s="133"/>
      <c r="D10" s="79">
        <f>INDEX('Capital Cost Breakdown'!$E$29:$G$29,MATCH(D$8,'Capital Cost Breakdown'!$E$4:$G$4,0))</f>
        <v>0</v>
      </c>
      <c r="E10" s="79">
        <f>INDEX('Capital Cost Breakdown'!$E$29:$G$29,MATCH(E$8,'Capital Cost Breakdown'!$E$4:$G$4,0))</f>
        <v>0</v>
      </c>
      <c r="F10" s="79">
        <f>INDEX('Capital Cost Breakdown'!$E$29:$G$29,MATCH(F$8,'Capital Cost Breakdown'!$E$4:$G$4,0))</f>
        <v>0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2" s="83" customFormat="1" ht="19.5" customHeight="1" x14ac:dyDescent="0.25">
      <c r="B11" s="84" t="s">
        <v>100</v>
      </c>
      <c r="C11" s="133"/>
      <c r="D11" s="79">
        <f>INDEX('Capital Cost Breakdown'!$E$41:$G$41,MATCH(D$8,'Capital Cost Breakdown'!$E$4:$G$4,0))</f>
        <v>0</v>
      </c>
      <c r="E11" s="79">
        <f>INDEX('Capital Cost Breakdown'!$E$41:$G$41,MATCH(E$8,'Capital Cost Breakdown'!$E$4:$G$4,0))</f>
        <v>0</v>
      </c>
      <c r="F11" s="79">
        <f>INDEX('Capital Cost Breakdown'!$E$41:$G$41,MATCH(F$8,'Capital Cost Breakdown'!$E$4:$G$4,0))</f>
        <v>0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2" s="83" customFormat="1" ht="19.5" customHeight="1" x14ac:dyDescent="0.25">
      <c r="B12" s="85" t="s">
        <v>2</v>
      </c>
      <c r="C12" s="132"/>
      <c r="D12" s="86">
        <f t="shared" ref="D12:F12" si="13">SUM(D9:D11)</f>
        <v>0</v>
      </c>
      <c r="E12" s="86">
        <f t="shared" si="13"/>
        <v>0</v>
      </c>
      <c r="F12" s="86">
        <f t="shared" si="13"/>
        <v>0</v>
      </c>
      <c r="G12" s="86">
        <f>SUM(G10:G11)</f>
        <v>0</v>
      </c>
      <c r="H12" s="86">
        <f t="shared" ref="H12:U12" si="14">SUM(H10:H11)</f>
        <v>0</v>
      </c>
      <c r="I12" s="86">
        <f t="shared" si="14"/>
        <v>0</v>
      </c>
      <c r="J12" s="86">
        <f t="shared" si="14"/>
        <v>0</v>
      </c>
      <c r="K12" s="86">
        <f t="shared" si="14"/>
        <v>0</v>
      </c>
      <c r="L12" s="86">
        <f t="shared" si="14"/>
        <v>0</v>
      </c>
      <c r="M12" s="86">
        <f t="shared" si="14"/>
        <v>0</v>
      </c>
      <c r="N12" s="86">
        <f t="shared" si="14"/>
        <v>0</v>
      </c>
      <c r="O12" s="86">
        <f t="shared" si="14"/>
        <v>0</v>
      </c>
      <c r="P12" s="86">
        <f t="shared" si="14"/>
        <v>0</v>
      </c>
      <c r="Q12" s="86">
        <f t="shared" si="14"/>
        <v>0</v>
      </c>
      <c r="R12" s="86">
        <f t="shared" si="14"/>
        <v>0</v>
      </c>
      <c r="S12" s="86">
        <f t="shared" si="14"/>
        <v>0</v>
      </c>
      <c r="T12" s="86">
        <f t="shared" si="14"/>
        <v>0</v>
      </c>
      <c r="U12" s="86">
        <f t="shared" si="14"/>
        <v>0</v>
      </c>
    </row>
    <row r="13" spans="1:22" s="83" customFormat="1" ht="19.5" customHeight="1" x14ac:dyDescent="0.2">
      <c r="B13" s="87"/>
      <c r="C13" s="76" t="s">
        <v>115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spans="1:22" s="83" customFormat="1" ht="19.5" customHeight="1" x14ac:dyDescent="0.25">
      <c r="B14" s="89" t="s">
        <v>112</v>
      </c>
      <c r="C14" s="131" t="s">
        <v>109</v>
      </c>
      <c r="D14" s="82" t="str">
        <f>D$8</f>
        <v/>
      </c>
      <c r="E14" s="82" t="str">
        <f t="shared" ref="E14:U14" si="15">E$8</f>
        <v/>
      </c>
      <c r="F14" s="82" t="str">
        <f t="shared" si="15"/>
        <v/>
      </c>
      <c r="G14" s="82">
        <f>G$8</f>
        <v>1900</v>
      </c>
      <c r="H14" s="82">
        <f t="shared" si="15"/>
        <v>1901</v>
      </c>
      <c r="I14" s="82">
        <f t="shared" si="15"/>
        <v>1902</v>
      </c>
      <c r="J14" s="82">
        <f t="shared" si="15"/>
        <v>1903</v>
      </c>
      <c r="K14" s="82">
        <f t="shared" si="15"/>
        <v>1904</v>
      </c>
      <c r="L14" s="82">
        <f t="shared" si="15"/>
        <v>1905</v>
      </c>
      <c r="M14" s="82">
        <f t="shared" si="15"/>
        <v>1906</v>
      </c>
      <c r="N14" s="82">
        <f t="shared" si="15"/>
        <v>1907</v>
      </c>
      <c r="O14" s="82">
        <f t="shared" si="15"/>
        <v>1908</v>
      </c>
      <c r="P14" s="82">
        <f t="shared" si="15"/>
        <v>1909</v>
      </c>
      <c r="Q14" s="82">
        <f t="shared" si="15"/>
        <v>1910</v>
      </c>
      <c r="R14" s="82">
        <f t="shared" si="15"/>
        <v>1911</v>
      </c>
      <c r="S14" s="82">
        <f t="shared" si="15"/>
        <v>1912</v>
      </c>
      <c r="T14" s="82">
        <f t="shared" si="15"/>
        <v>1913</v>
      </c>
      <c r="U14" s="82">
        <f t="shared" si="15"/>
        <v>1914</v>
      </c>
    </row>
    <row r="15" spans="1:22" s="83" customFormat="1" ht="30.75" customHeight="1" x14ac:dyDescent="0.25">
      <c r="B15" s="84" t="s">
        <v>102</v>
      </c>
      <c r="C15" s="188" t="s">
        <v>204</v>
      </c>
      <c r="D15" s="138"/>
      <c r="E15" s="138"/>
      <c r="F15" s="138" t="s">
        <v>184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spans="1:22" s="83" customFormat="1" ht="19.5" customHeight="1" x14ac:dyDescent="0.25">
      <c r="B16" s="84" t="s">
        <v>103</v>
      </c>
      <c r="C16" s="187"/>
      <c r="D16" s="138"/>
      <c r="E16" s="138"/>
      <c r="F16" s="138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2:21" s="83" customFormat="1" ht="19.5" customHeight="1" x14ac:dyDescent="0.25">
      <c r="B17" s="84" t="s">
        <v>3</v>
      </c>
      <c r="C17" s="187"/>
      <c r="D17" s="138"/>
      <c r="E17" s="138"/>
      <c r="F17" s="138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2:21" s="83" customFormat="1" ht="19.5" customHeight="1" x14ac:dyDescent="0.25">
      <c r="B18" s="84" t="s">
        <v>4</v>
      </c>
      <c r="C18" s="187"/>
      <c r="D18" s="138"/>
      <c r="E18" s="138"/>
      <c r="F18" s="138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2:21" s="83" customFormat="1" ht="19.5" customHeight="1" x14ac:dyDescent="0.25">
      <c r="B19" s="84" t="s">
        <v>111</v>
      </c>
      <c r="C19" s="187"/>
      <c r="D19" s="138"/>
      <c r="E19" s="138"/>
      <c r="F19" s="138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2:21" s="83" customFormat="1" ht="19.5" customHeight="1" x14ac:dyDescent="0.25">
      <c r="B20" s="84" t="s">
        <v>104</v>
      </c>
      <c r="C20" s="187"/>
      <c r="D20" s="138"/>
      <c r="E20" s="138"/>
      <c r="F20" s="138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2:21" s="83" customFormat="1" ht="19.5" customHeight="1" x14ac:dyDescent="0.25">
      <c r="B21" s="90" t="s">
        <v>110</v>
      </c>
      <c r="C21" s="187"/>
      <c r="D21" s="138"/>
      <c r="E21" s="138"/>
      <c r="F21" s="138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2:21" s="83" customFormat="1" ht="19.5" customHeight="1" x14ac:dyDescent="0.25">
      <c r="B22" s="90" t="s">
        <v>110</v>
      </c>
      <c r="C22" s="187"/>
      <c r="D22" s="138"/>
      <c r="E22" s="138"/>
      <c r="F22" s="138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2:21" s="83" customFormat="1" ht="19.5" customHeight="1" x14ac:dyDescent="0.25">
      <c r="B23" s="90" t="s">
        <v>110</v>
      </c>
      <c r="C23" s="187"/>
      <c r="D23" s="138"/>
      <c r="E23" s="138"/>
      <c r="F23" s="138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2:21" s="83" customFormat="1" ht="19.5" customHeight="1" x14ac:dyDescent="0.25">
      <c r="B24" s="90" t="s">
        <v>110</v>
      </c>
      <c r="C24" s="187"/>
      <c r="D24" s="138"/>
      <c r="E24" s="138"/>
      <c r="F24" s="138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2:21" s="83" customFormat="1" ht="19.5" customHeight="1" x14ac:dyDescent="0.25">
      <c r="B25" s="90" t="s">
        <v>110</v>
      </c>
      <c r="C25" s="187"/>
      <c r="D25" s="138"/>
      <c r="E25" s="138"/>
      <c r="F25" s="138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2:21" s="83" customFormat="1" ht="19.5" customHeight="1" x14ac:dyDescent="0.25">
      <c r="B26" s="85" t="s">
        <v>5</v>
      </c>
      <c r="C26" s="132"/>
      <c r="D26" s="86"/>
      <c r="E26" s="86"/>
      <c r="F26" s="86"/>
      <c r="G26" s="86">
        <f t="shared" ref="G26:P26" si="16">SUM(G15:G25)</f>
        <v>0</v>
      </c>
      <c r="H26" s="86">
        <f t="shared" si="16"/>
        <v>0</v>
      </c>
      <c r="I26" s="86">
        <f t="shared" si="16"/>
        <v>0</v>
      </c>
      <c r="J26" s="86">
        <f t="shared" si="16"/>
        <v>0</v>
      </c>
      <c r="K26" s="86">
        <f t="shared" si="16"/>
        <v>0</v>
      </c>
      <c r="L26" s="86">
        <f t="shared" si="16"/>
        <v>0</v>
      </c>
      <c r="M26" s="86">
        <f t="shared" si="16"/>
        <v>0</v>
      </c>
      <c r="N26" s="86">
        <f t="shared" si="16"/>
        <v>0</v>
      </c>
      <c r="O26" s="86">
        <f t="shared" si="16"/>
        <v>0</v>
      </c>
      <c r="P26" s="86">
        <f t="shared" si="16"/>
        <v>0</v>
      </c>
      <c r="Q26" s="86">
        <f t="shared" ref="Q26:U26" si="17">SUM(Q15:Q25)</f>
        <v>0</v>
      </c>
      <c r="R26" s="86">
        <f t="shared" si="17"/>
        <v>0</v>
      </c>
      <c r="S26" s="86">
        <f t="shared" si="17"/>
        <v>0</v>
      </c>
      <c r="T26" s="86">
        <f t="shared" si="17"/>
        <v>0</v>
      </c>
      <c r="U26" s="86">
        <f t="shared" si="17"/>
        <v>0</v>
      </c>
    </row>
    <row r="27" spans="2:21" s="83" customFormat="1" ht="19.5" customHeight="1" x14ac:dyDescent="0.25">
      <c r="B27" s="87"/>
      <c r="C27" s="95" t="s">
        <v>117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 s="83" customFormat="1" ht="19.5" customHeight="1" x14ac:dyDescent="0.25">
      <c r="B28" s="89" t="s">
        <v>113</v>
      </c>
      <c r="C28" s="131" t="s">
        <v>109</v>
      </c>
      <c r="D28" s="82" t="str">
        <f>D$8</f>
        <v/>
      </c>
      <c r="E28" s="82" t="str">
        <f t="shared" ref="E28:U28" si="18">E$8</f>
        <v/>
      </c>
      <c r="F28" s="82" t="str">
        <f t="shared" si="18"/>
        <v/>
      </c>
      <c r="G28" s="82">
        <f>G$8</f>
        <v>1900</v>
      </c>
      <c r="H28" s="82">
        <f t="shared" si="18"/>
        <v>1901</v>
      </c>
      <c r="I28" s="82">
        <f t="shared" si="18"/>
        <v>1902</v>
      </c>
      <c r="J28" s="82">
        <f t="shared" si="18"/>
        <v>1903</v>
      </c>
      <c r="K28" s="82">
        <f t="shared" si="18"/>
        <v>1904</v>
      </c>
      <c r="L28" s="82">
        <f t="shared" si="18"/>
        <v>1905</v>
      </c>
      <c r="M28" s="82">
        <f t="shared" si="18"/>
        <v>1906</v>
      </c>
      <c r="N28" s="82">
        <f t="shared" si="18"/>
        <v>1907</v>
      </c>
      <c r="O28" s="82">
        <f t="shared" si="18"/>
        <v>1908</v>
      </c>
      <c r="P28" s="82">
        <f t="shared" si="18"/>
        <v>1909</v>
      </c>
      <c r="Q28" s="82">
        <f t="shared" si="18"/>
        <v>1910</v>
      </c>
      <c r="R28" s="82">
        <f t="shared" si="18"/>
        <v>1911</v>
      </c>
      <c r="S28" s="82">
        <f t="shared" si="18"/>
        <v>1912</v>
      </c>
      <c r="T28" s="82">
        <f t="shared" si="18"/>
        <v>1913</v>
      </c>
      <c r="U28" s="82">
        <f t="shared" si="18"/>
        <v>1914</v>
      </c>
    </row>
    <row r="29" spans="2:21" s="83" customFormat="1" ht="19.5" customHeight="1" x14ac:dyDescent="0.25">
      <c r="B29" s="135" t="s">
        <v>129</v>
      </c>
      <c r="C29" s="189"/>
      <c r="D29" s="79">
        <f>INDEX('Capital Cost Breakdown'!$E$43:$G$43,MATCH(D$8,'Capital Cost Breakdown'!$E$4:$G$4,0))</f>
        <v>0</v>
      </c>
      <c r="E29" s="79">
        <f>INDEX('Capital Cost Breakdown'!$E$43:$G$43,MATCH(E$8,'Capital Cost Breakdown'!$E$4:$G$4,0))</f>
        <v>0</v>
      </c>
      <c r="F29" s="79">
        <f>INDEX('Capital Cost Breakdown'!$E$43:$G$43,MATCH(F$8,'Capital Cost Breakdown'!$E$4:$G$4,0))</f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2:21" s="83" customFormat="1" ht="19.5" customHeight="1" x14ac:dyDescent="0.25">
      <c r="B30" s="90" t="s">
        <v>107</v>
      </c>
      <c r="C30" s="187"/>
      <c r="D30" s="138"/>
      <c r="E30" s="138"/>
      <c r="F30" s="138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2:21" s="83" customFormat="1" ht="19.5" customHeight="1" x14ac:dyDescent="0.25">
      <c r="B31" s="90" t="s">
        <v>114</v>
      </c>
      <c r="C31" s="187"/>
      <c r="D31" s="138"/>
      <c r="E31" s="138"/>
      <c r="F31" s="138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2:21" s="83" customFormat="1" ht="19.5" customHeight="1" x14ac:dyDescent="0.25">
      <c r="B32" s="90" t="s">
        <v>118</v>
      </c>
      <c r="C32" s="187"/>
      <c r="D32" s="138"/>
      <c r="E32" s="138"/>
      <c r="F32" s="138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2:21" s="83" customFormat="1" ht="19.5" customHeight="1" x14ac:dyDescent="0.25">
      <c r="B33" s="90" t="s">
        <v>110</v>
      </c>
      <c r="C33" s="187"/>
      <c r="D33" s="138"/>
      <c r="E33" s="138"/>
      <c r="F33" s="138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2:21" s="83" customFormat="1" ht="19.5" customHeight="1" x14ac:dyDescent="0.25">
      <c r="B34" s="90" t="s">
        <v>110</v>
      </c>
      <c r="C34" s="187"/>
      <c r="D34" s="138"/>
      <c r="E34" s="138"/>
      <c r="F34" s="138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2:21" s="83" customFormat="1" ht="19.5" customHeight="1" x14ac:dyDescent="0.25">
      <c r="B35" s="90" t="s">
        <v>110</v>
      </c>
      <c r="C35" s="187"/>
      <c r="D35" s="138"/>
      <c r="E35" s="138"/>
      <c r="F35" s="138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2:21" s="83" customFormat="1" ht="19.5" customHeight="1" x14ac:dyDescent="0.25">
      <c r="B36" s="90" t="s">
        <v>110</v>
      </c>
      <c r="C36" s="187"/>
      <c r="D36" s="138"/>
      <c r="E36" s="138"/>
      <c r="F36" s="138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2:21" s="83" customFormat="1" ht="19.5" customHeight="1" x14ac:dyDescent="0.25">
      <c r="B37" s="90" t="s">
        <v>110</v>
      </c>
      <c r="C37" s="187"/>
      <c r="D37" s="138"/>
      <c r="E37" s="138"/>
      <c r="F37" s="138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2:21" s="83" customFormat="1" ht="19.5" customHeight="1" x14ac:dyDescent="0.25">
      <c r="B38" s="85" t="s">
        <v>6</v>
      </c>
      <c r="C38" s="132"/>
      <c r="D38" s="86"/>
      <c r="E38" s="86"/>
      <c r="F38" s="86"/>
      <c r="G38" s="86">
        <f>SUM(G30:G37)</f>
        <v>0</v>
      </c>
      <c r="H38" s="86">
        <f t="shared" ref="H38:U38" si="19">SUM(H30:H37)</f>
        <v>0</v>
      </c>
      <c r="I38" s="86">
        <f t="shared" si="19"/>
        <v>0</v>
      </c>
      <c r="J38" s="86">
        <f t="shared" si="19"/>
        <v>0</v>
      </c>
      <c r="K38" s="86">
        <f t="shared" si="19"/>
        <v>0</v>
      </c>
      <c r="L38" s="86">
        <f t="shared" si="19"/>
        <v>0</v>
      </c>
      <c r="M38" s="86">
        <f t="shared" si="19"/>
        <v>0</v>
      </c>
      <c r="N38" s="86">
        <f t="shared" si="19"/>
        <v>0</v>
      </c>
      <c r="O38" s="86">
        <f t="shared" si="19"/>
        <v>0</v>
      </c>
      <c r="P38" s="86">
        <f t="shared" si="19"/>
        <v>0</v>
      </c>
      <c r="Q38" s="86">
        <f t="shared" si="19"/>
        <v>0</v>
      </c>
      <c r="R38" s="86">
        <f t="shared" si="19"/>
        <v>0</v>
      </c>
      <c r="S38" s="86">
        <f t="shared" si="19"/>
        <v>0</v>
      </c>
      <c r="T38" s="86">
        <f t="shared" si="19"/>
        <v>0</v>
      </c>
      <c r="U38" s="86">
        <f t="shared" si="19"/>
        <v>0</v>
      </c>
    </row>
  </sheetData>
  <conditionalFormatting sqref="D6:F6">
    <cfRule type="containsText" dxfId="0" priority="1" operator="containsText" text="Construction start">
      <formula>NOT(ISERROR(SEARCH("Construction start",D6)))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B1:F9"/>
  <sheetViews>
    <sheetView zoomScaleNormal="100" workbookViewId="0">
      <pane ySplit="1" topLeftCell="A2" activePane="bottomLeft" state="frozen"/>
      <selection activeCell="D41" sqref="D41"/>
      <selection pane="bottomLeft" activeCell="G5" sqref="G5"/>
    </sheetView>
  </sheetViews>
  <sheetFormatPr defaultColWidth="9.140625" defaultRowHeight="12.75" x14ac:dyDescent="0.2"/>
  <cols>
    <col min="1" max="1" width="3.7109375" style="1" customWidth="1"/>
    <col min="2" max="2" width="32.140625" style="1" customWidth="1"/>
    <col min="3" max="3" width="12.5703125" style="1" customWidth="1"/>
    <col min="4" max="4" width="16" style="1" customWidth="1"/>
    <col min="5" max="6" width="12.5703125" style="1" customWidth="1"/>
    <col min="7" max="7" width="25.28515625" style="1" customWidth="1"/>
    <col min="8" max="16384" width="9.140625" style="1"/>
  </cols>
  <sheetData>
    <row r="1" spans="2:6" ht="23.25" x14ac:dyDescent="0.2">
      <c r="B1" s="99" t="s">
        <v>7</v>
      </c>
    </row>
    <row r="3" spans="2:6" ht="31.5" x14ac:dyDescent="0.25">
      <c r="B3" s="2"/>
      <c r="C3" s="98" t="s">
        <v>8</v>
      </c>
      <c r="D3" s="98" t="s">
        <v>126</v>
      </c>
      <c r="E3" s="98" t="s">
        <v>127</v>
      </c>
      <c r="F3" s="98" t="s">
        <v>128</v>
      </c>
    </row>
    <row r="4" spans="2:6" x14ac:dyDescent="0.2">
      <c r="B4" s="100" t="s">
        <v>9</v>
      </c>
      <c r="C4" s="3">
        <f>Analysis!C63</f>
        <v>0</v>
      </c>
      <c r="D4" s="3">
        <f>Analysis!D63</f>
        <v>0</v>
      </c>
      <c r="E4" s="3">
        <f>Analysis!E63</f>
        <v>0</v>
      </c>
      <c r="F4" s="3">
        <f>Analysis!F63</f>
        <v>0</v>
      </c>
    </row>
    <row r="5" spans="2:6" x14ac:dyDescent="0.2">
      <c r="B5" s="101" t="s">
        <v>10</v>
      </c>
      <c r="C5" s="3">
        <f>Analysis!C64</f>
        <v>0</v>
      </c>
      <c r="D5" s="3">
        <f>Analysis!D64</f>
        <v>0</v>
      </c>
      <c r="E5" s="3">
        <f>Analysis!E64</f>
        <v>0</v>
      </c>
      <c r="F5" s="3">
        <f>Analysis!F64</f>
        <v>0</v>
      </c>
    </row>
    <row r="6" spans="2:6" x14ac:dyDescent="0.2">
      <c r="B6" s="101" t="s">
        <v>11</v>
      </c>
      <c r="C6" s="3">
        <f>Analysis!C65</f>
        <v>0</v>
      </c>
      <c r="D6" s="3">
        <f>Analysis!D65</f>
        <v>0</v>
      </c>
      <c r="E6" s="3">
        <f>Analysis!E65</f>
        <v>0</v>
      </c>
      <c r="F6" s="3">
        <f>Analysis!F65</f>
        <v>0</v>
      </c>
    </row>
    <row r="7" spans="2:6" x14ac:dyDescent="0.2">
      <c r="B7" s="101" t="s">
        <v>187</v>
      </c>
      <c r="C7" s="4">
        <f>Analysis!C66</f>
        <v>0</v>
      </c>
      <c r="D7" s="4" t="e">
        <f>Analysis!D66</f>
        <v>#DIV/0!</v>
      </c>
      <c r="E7" s="4" t="e">
        <f>Analysis!E66</f>
        <v>#DIV/0!</v>
      </c>
      <c r="F7" s="4" t="e">
        <f>Analysis!F66</f>
        <v>#DIV/0!</v>
      </c>
    </row>
    <row r="8" spans="2:6" x14ac:dyDescent="0.2">
      <c r="B8" s="101" t="s">
        <v>157</v>
      </c>
      <c r="C8" s="5"/>
      <c r="D8" s="6" t="e">
        <f>Analysis!D72</f>
        <v>#DIV/0!</v>
      </c>
      <c r="E8" s="6" t="e">
        <f>Analysis!E72</f>
        <v>#DIV/0!</v>
      </c>
      <c r="F8" s="6" t="e">
        <f>Analysis!F72</f>
        <v>#DIV/0!</v>
      </c>
    </row>
    <row r="9" spans="2:6" x14ac:dyDescent="0.2">
      <c r="B9" s="120" t="s">
        <v>142</v>
      </c>
      <c r="C9" s="122"/>
      <c r="D9" s="123" t="e">
        <f>Analysis!D68</f>
        <v>#DIV/0!</v>
      </c>
      <c r="E9" s="123" t="e">
        <f>Analysis!E68</f>
        <v>#DIV/0!</v>
      </c>
      <c r="F9" s="123" t="e">
        <f>Analysis!F68</f>
        <v>#DIV/0!</v>
      </c>
    </row>
  </sheetData>
  <pageMargins left="0.7" right="0.7" top="0.75" bottom="0.75" header="0.3" footer="0.3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B1:T99"/>
  <sheetViews>
    <sheetView zoomScaleNormal="100" zoomScaleSheetLayoutView="40" workbookViewId="0">
      <pane xSplit="2" ySplit="2" topLeftCell="C37" activePane="bottomRight" state="frozen"/>
      <selection pane="topRight" activeCell="C1" sqref="C1"/>
      <selection pane="bottomLeft" activeCell="A3" sqref="A3"/>
      <selection pane="bottomRight" activeCell="D63" sqref="D63"/>
    </sheetView>
  </sheetViews>
  <sheetFormatPr defaultColWidth="9.140625" defaultRowHeight="12.75" x14ac:dyDescent="0.2"/>
  <cols>
    <col min="1" max="1" width="4" style="102" customWidth="1"/>
    <col min="2" max="2" width="45" style="102" customWidth="1"/>
    <col min="3" max="3" width="13.85546875" style="103" bestFit="1" customWidth="1"/>
    <col min="4" max="4" width="15.42578125" style="103" customWidth="1"/>
    <col min="5" max="6" width="12.85546875" style="103" customWidth="1"/>
    <col min="7" max="19" width="11.42578125" style="103" customWidth="1"/>
    <col min="20" max="21" width="11.42578125" style="102" customWidth="1"/>
    <col min="22" max="16384" width="9.140625" style="102"/>
  </cols>
  <sheetData>
    <row r="1" spans="2:20" s="26" customFormat="1" ht="30.75" customHeight="1" x14ac:dyDescent="0.35">
      <c r="B1" s="18" t="s">
        <v>119</v>
      </c>
      <c r="D1" s="96"/>
      <c r="E1" s="19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2:20" s="164" customFormat="1" ht="12" hidden="1" customHeight="1" x14ac:dyDescent="0.2">
      <c r="C2" s="165">
        <f>IFERROR(C3-'Project Details'!$D$12,0)</f>
        <v>0</v>
      </c>
      <c r="D2" s="165">
        <f>IFERROR(D3-'Project Details'!$D$12,0)</f>
        <v>0</v>
      </c>
      <c r="E2" s="165">
        <f>IFERROR(E3-'Project Details'!$D$12,0)</f>
        <v>0</v>
      </c>
      <c r="F2" s="165">
        <f>IFERROR(F3-'Project Details'!$D$12,0)</f>
        <v>1900</v>
      </c>
      <c r="G2" s="165">
        <f>IFERROR(G3-'Project Details'!$D$12,0)</f>
        <v>1901</v>
      </c>
      <c r="H2" s="165">
        <f>IFERROR(H3-'Project Details'!$D$12,0)</f>
        <v>1902</v>
      </c>
      <c r="I2" s="165">
        <f>IFERROR(I3-'Project Details'!$D$12,0)</f>
        <v>1903</v>
      </c>
      <c r="J2" s="165">
        <f>IFERROR(J3-'Project Details'!$D$12,0)</f>
        <v>1904</v>
      </c>
      <c r="K2" s="165">
        <f>IFERROR(K3-'Project Details'!$D$12,0)</f>
        <v>1905</v>
      </c>
      <c r="L2" s="165">
        <f>IFERROR(L3-'Project Details'!$D$12,0)</f>
        <v>1906</v>
      </c>
      <c r="M2" s="165">
        <f>IFERROR(M3-'Project Details'!$D$12,0)</f>
        <v>1907</v>
      </c>
      <c r="N2" s="165">
        <f>IFERROR(N3-'Project Details'!$D$12,0)</f>
        <v>1908</v>
      </c>
      <c r="O2" s="165">
        <f>IFERROR(O3-'Project Details'!$D$12,0)</f>
        <v>1909</v>
      </c>
      <c r="P2" s="165">
        <f>IFERROR(P3-'Project Details'!$D$12,0)</f>
        <v>1910</v>
      </c>
      <c r="Q2" s="165">
        <f>IFERROR(Q3-'Project Details'!$D$12,0)</f>
        <v>1911</v>
      </c>
      <c r="R2" s="165">
        <f>IFERROR(R3-'Project Details'!$D$12,0)</f>
        <v>1912</v>
      </c>
      <c r="S2" s="165">
        <f>IFERROR(S3-'Project Details'!$D$12,0)</f>
        <v>1913</v>
      </c>
      <c r="T2" s="165">
        <f>IFERROR(T3-'Project Details'!$D$12,0)</f>
        <v>1914</v>
      </c>
    </row>
    <row r="3" spans="2:20" s="104" customFormat="1" ht="12" x14ac:dyDescent="0.2">
      <c r="B3" s="81" t="s">
        <v>9</v>
      </c>
      <c r="C3" s="82" t="str">
        <f>'Financial Inputs'!D8</f>
        <v/>
      </c>
      <c r="D3" s="82" t="str">
        <f>'Financial Inputs'!E8</f>
        <v/>
      </c>
      <c r="E3" s="82" t="str">
        <f>'Financial Inputs'!F8</f>
        <v/>
      </c>
      <c r="F3" s="82">
        <f>'Financial Inputs'!G8</f>
        <v>1900</v>
      </c>
      <c r="G3" s="82">
        <f>'Financial Inputs'!H8</f>
        <v>1901</v>
      </c>
      <c r="H3" s="82">
        <f>'Financial Inputs'!I8</f>
        <v>1902</v>
      </c>
      <c r="I3" s="82">
        <f>'Financial Inputs'!J8</f>
        <v>1903</v>
      </c>
      <c r="J3" s="82">
        <f>'Financial Inputs'!K8</f>
        <v>1904</v>
      </c>
      <c r="K3" s="82">
        <f>'Financial Inputs'!L8</f>
        <v>1905</v>
      </c>
      <c r="L3" s="82">
        <f>'Financial Inputs'!M8</f>
        <v>1906</v>
      </c>
      <c r="M3" s="82">
        <f>'Financial Inputs'!N8</f>
        <v>1907</v>
      </c>
      <c r="N3" s="82">
        <f>'Financial Inputs'!O8</f>
        <v>1908</v>
      </c>
      <c r="O3" s="82">
        <f>'Financial Inputs'!P8</f>
        <v>1909</v>
      </c>
      <c r="P3" s="82">
        <f>'Financial Inputs'!Q8</f>
        <v>1910</v>
      </c>
      <c r="Q3" s="82">
        <f>'Financial Inputs'!R8</f>
        <v>1911</v>
      </c>
      <c r="R3" s="82">
        <f>'Financial Inputs'!S8</f>
        <v>1912</v>
      </c>
      <c r="S3" s="82">
        <f>'Financial Inputs'!T8</f>
        <v>1913</v>
      </c>
      <c r="T3" s="82">
        <f>'Financial Inputs'!U8</f>
        <v>1914</v>
      </c>
    </row>
    <row r="4" spans="2:20" s="126" customFormat="1" ht="12" x14ac:dyDescent="0.2">
      <c r="B4" s="127" t="str">
        <f>'Financial Inputs'!B9</f>
        <v>Eligible capital costs</v>
      </c>
      <c r="C4" s="125">
        <f>'Financial Inputs'!D9*(1+Inflation_rate)^C$2</f>
        <v>0</v>
      </c>
      <c r="D4" s="125">
        <f>'Financial Inputs'!E9*(1+Inflation_rate)^D$2</f>
        <v>0</v>
      </c>
      <c r="E4" s="125">
        <f>'Financial Inputs'!F9*(1+Inflation_rate)^E$2</f>
        <v>0</v>
      </c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</row>
    <row r="5" spans="2:20" s="126" customFormat="1" ht="12" x14ac:dyDescent="0.2">
      <c r="B5" s="127" t="str">
        <f>'Financial Inputs'!B10</f>
        <v>Ineligible capital costs</v>
      </c>
      <c r="C5" s="125">
        <f>'Financial Inputs'!D10*(1+Inflation_rate)^C$2</f>
        <v>0</v>
      </c>
      <c r="D5" s="125">
        <f>'Financial Inputs'!E10*(1+Inflation_rate)^D$2</f>
        <v>0</v>
      </c>
      <c r="E5" s="125">
        <f>'Financial Inputs'!F10*(1+Inflation_rate)^E$2</f>
        <v>0</v>
      </c>
      <c r="F5" s="125">
        <f>'Financial Inputs'!G10*(1+Inflation_rate)^F$2</f>
        <v>0</v>
      </c>
      <c r="G5" s="125">
        <f>'Financial Inputs'!H10*(1+Inflation_rate)^G$2</f>
        <v>0</v>
      </c>
      <c r="H5" s="125">
        <f>'Financial Inputs'!I10*(1+Inflation_rate)^H$2</f>
        <v>0</v>
      </c>
      <c r="I5" s="125">
        <f>'Financial Inputs'!J10*(1+Inflation_rate)^I$2</f>
        <v>0</v>
      </c>
      <c r="J5" s="125">
        <f>'Financial Inputs'!K10*(1+Inflation_rate)^J$2</f>
        <v>0</v>
      </c>
      <c r="K5" s="125">
        <f>'Financial Inputs'!L10*(1+Inflation_rate)^K$2</f>
        <v>0</v>
      </c>
      <c r="L5" s="125">
        <f>'Financial Inputs'!M10*(1+Inflation_rate)^L$2</f>
        <v>0</v>
      </c>
      <c r="M5" s="125">
        <f>'Financial Inputs'!N10*(1+Inflation_rate)^M$2</f>
        <v>0</v>
      </c>
      <c r="N5" s="125">
        <f>'Financial Inputs'!O10*(1+Inflation_rate)^N$2</f>
        <v>0</v>
      </c>
      <c r="O5" s="125">
        <f>'Financial Inputs'!P10*(1+Inflation_rate)^O$2</f>
        <v>0</v>
      </c>
      <c r="P5" s="125">
        <f>'Financial Inputs'!Q10*(1+Inflation_rate)^P$2</f>
        <v>0</v>
      </c>
      <c r="Q5" s="125">
        <f>'Financial Inputs'!R10*(1+Inflation_rate)^Q$2</f>
        <v>0</v>
      </c>
      <c r="R5" s="125">
        <f>'Financial Inputs'!S10*(1+Inflation_rate)^R$2</f>
        <v>0</v>
      </c>
      <c r="S5" s="125">
        <f>'Financial Inputs'!T10*(1+Inflation_rate)^S$2</f>
        <v>0</v>
      </c>
      <c r="T5" s="125">
        <f>'Financial Inputs'!U10*(1+Inflation_rate)^T$2</f>
        <v>0</v>
      </c>
    </row>
    <row r="6" spans="2:20" s="126" customFormat="1" ht="12" x14ac:dyDescent="0.2">
      <c r="B6" s="127" t="str">
        <f>'Financial Inputs'!B11</f>
        <v>In-kind contributions</v>
      </c>
      <c r="C6" s="125">
        <f>'Financial Inputs'!D11*(1+Inflation_rate)^C$2</f>
        <v>0</v>
      </c>
      <c r="D6" s="125">
        <f>'Financial Inputs'!E11*(1+Inflation_rate)^D$2</f>
        <v>0</v>
      </c>
      <c r="E6" s="125">
        <f>'Financial Inputs'!F11*(1+Inflation_rate)^E$2</f>
        <v>0</v>
      </c>
      <c r="F6" s="125">
        <f>'Financial Inputs'!G11*(1+Inflation_rate)^F$2</f>
        <v>0</v>
      </c>
      <c r="G6" s="125">
        <f>'Financial Inputs'!H11*(1+Inflation_rate)^G$2</f>
        <v>0</v>
      </c>
      <c r="H6" s="125">
        <f>'Financial Inputs'!I11*(1+Inflation_rate)^H$2</f>
        <v>0</v>
      </c>
      <c r="I6" s="125">
        <f>'Financial Inputs'!J11*(1+Inflation_rate)^I$2</f>
        <v>0</v>
      </c>
      <c r="J6" s="125">
        <f>'Financial Inputs'!K11*(1+Inflation_rate)^J$2</f>
        <v>0</v>
      </c>
      <c r="K6" s="125">
        <f>'Financial Inputs'!L11*(1+Inflation_rate)^K$2</f>
        <v>0</v>
      </c>
      <c r="L6" s="125">
        <f>'Financial Inputs'!M11*(1+Inflation_rate)^L$2</f>
        <v>0</v>
      </c>
      <c r="M6" s="125">
        <f>'Financial Inputs'!N11*(1+Inflation_rate)^M$2</f>
        <v>0</v>
      </c>
      <c r="N6" s="125">
        <f>'Financial Inputs'!O11*(1+Inflation_rate)^N$2</f>
        <v>0</v>
      </c>
      <c r="O6" s="125">
        <f>'Financial Inputs'!P11*(1+Inflation_rate)^O$2</f>
        <v>0</v>
      </c>
      <c r="P6" s="125">
        <f>'Financial Inputs'!Q11*(1+Inflation_rate)^P$2</f>
        <v>0</v>
      </c>
      <c r="Q6" s="125">
        <f>'Financial Inputs'!R11*(1+Inflation_rate)^Q$2</f>
        <v>0</v>
      </c>
      <c r="R6" s="125">
        <f>'Financial Inputs'!S11*(1+Inflation_rate)^R$2</f>
        <v>0</v>
      </c>
      <c r="S6" s="125">
        <f>'Financial Inputs'!T11*(1+Inflation_rate)^S$2</f>
        <v>0</v>
      </c>
      <c r="T6" s="125">
        <f>'Financial Inputs'!U11*(1+Inflation_rate)^T$2</f>
        <v>0</v>
      </c>
    </row>
    <row r="7" spans="2:20" s="104" customFormat="1" ht="12" x14ac:dyDescent="0.2">
      <c r="B7" s="85" t="s">
        <v>2</v>
      </c>
      <c r="C7" s="86">
        <f>SUM(C4:C6)</f>
        <v>0</v>
      </c>
      <c r="D7" s="86">
        <f t="shared" ref="D7:L7" si="0">SUM(D4:D6)</f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ref="M7" si="1">SUM(M4:M6)</f>
        <v>0</v>
      </c>
      <c r="N7" s="86">
        <f t="shared" ref="N7" si="2">SUM(N4:N6)</f>
        <v>0</v>
      </c>
      <c r="O7" s="86">
        <f t="shared" ref="O7" si="3">SUM(O4:O6)</f>
        <v>0</v>
      </c>
      <c r="P7" s="86">
        <f t="shared" ref="P7" si="4">SUM(P4:P6)</f>
        <v>0</v>
      </c>
      <c r="Q7" s="86">
        <f t="shared" ref="Q7" si="5">SUM(Q4:Q6)</f>
        <v>0</v>
      </c>
      <c r="R7" s="86">
        <f t="shared" ref="R7" si="6">SUM(R4:R6)</f>
        <v>0</v>
      </c>
      <c r="S7" s="86">
        <f t="shared" ref="S7" si="7">SUM(S4:S6)</f>
        <v>0</v>
      </c>
      <c r="T7" s="86">
        <f t="shared" ref="T7" si="8">SUM(T4:T6)</f>
        <v>0</v>
      </c>
    </row>
    <row r="8" spans="2:20" s="104" customFormat="1" ht="12" x14ac:dyDescent="0.2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</row>
    <row r="9" spans="2:20" s="104" customFormat="1" ht="12" x14ac:dyDescent="0.2">
      <c r="B9" s="81" t="s">
        <v>144</v>
      </c>
      <c r="C9" s="82" t="str">
        <f>'Financial Inputs'!D14</f>
        <v/>
      </c>
      <c r="D9" s="82" t="str">
        <f>'Financial Inputs'!E14</f>
        <v/>
      </c>
      <c r="E9" s="82" t="str">
        <f>'Financial Inputs'!F14</f>
        <v/>
      </c>
      <c r="F9" s="82">
        <f>'Financial Inputs'!G14</f>
        <v>1900</v>
      </c>
      <c r="G9" s="82">
        <f>'Financial Inputs'!H14</f>
        <v>1901</v>
      </c>
      <c r="H9" s="82">
        <f>'Financial Inputs'!I14</f>
        <v>1902</v>
      </c>
      <c r="I9" s="82">
        <f>'Financial Inputs'!J14</f>
        <v>1903</v>
      </c>
      <c r="J9" s="82">
        <f>'Financial Inputs'!K14</f>
        <v>1904</v>
      </c>
      <c r="K9" s="82">
        <f>'Financial Inputs'!L14</f>
        <v>1905</v>
      </c>
      <c r="L9" s="82">
        <f>'Financial Inputs'!M14</f>
        <v>1906</v>
      </c>
      <c r="M9" s="82">
        <f>'Financial Inputs'!N14</f>
        <v>1907</v>
      </c>
      <c r="N9" s="82">
        <f>'Financial Inputs'!O14</f>
        <v>1908</v>
      </c>
      <c r="O9" s="82">
        <f>'Financial Inputs'!P14</f>
        <v>1909</v>
      </c>
      <c r="P9" s="82">
        <f>'Financial Inputs'!Q14</f>
        <v>1910</v>
      </c>
      <c r="Q9" s="82">
        <f>'Financial Inputs'!R14</f>
        <v>1911</v>
      </c>
      <c r="R9" s="82">
        <f>'Financial Inputs'!S14</f>
        <v>1912</v>
      </c>
      <c r="S9" s="82">
        <f>'Financial Inputs'!T14</f>
        <v>1913</v>
      </c>
      <c r="T9" s="82">
        <f>'Financial Inputs'!U14</f>
        <v>1914</v>
      </c>
    </row>
    <row r="10" spans="2:20" s="104" customFormat="1" ht="12" x14ac:dyDescent="0.2">
      <c r="B10" s="127" t="s">
        <v>149</v>
      </c>
      <c r="C10" s="138"/>
      <c r="D10" s="138"/>
      <c r="E10" s="138"/>
      <c r="F10" s="139">
        <f>Asset_life</f>
        <v>0</v>
      </c>
      <c r="G10" s="140">
        <f>F10-1</f>
        <v>-1</v>
      </c>
      <c r="H10" s="140">
        <f t="shared" ref="H10:T10" si="9">G10-1</f>
        <v>-2</v>
      </c>
      <c r="I10" s="140">
        <f t="shared" si="9"/>
        <v>-3</v>
      </c>
      <c r="J10" s="140">
        <f t="shared" si="9"/>
        <v>-4</v>
      </c>
      <c r="K10" s="140">
        <f t="shared" si="9"/>
        <v>-5</v>
      </c>
      <c r="L10" s="140">
        <f t="shared" si="9"/>
        <v>-6</v>
      </c>
      <c r="M10" s="140">
        <f t="shared" si="9"/>
        <v>-7</v>
      </c>
      <c r="N10" s="140">
        <f t="shared" si="9"/>
        <v>-8</v>
      </c>
      <c r="O10" s="140">
        <f t="shared" si="9"/>
        <v>-9</v>
      </c>
      <c r="P10" s="140">
        <f t="shared" si="9"/>
        <v>-10</v>
      </c>
      <c r="Q10" s="140">
        <f t="shared" si="9"/>
        <v>-11</v>
      </c>
      <c r="R10" s="140">
        <f t="shared" si="9"/>
        <v>-12</v>
      </c>
      <c r="S10" s="140">
        <f t="shared" si="9"/>
        <v>-13</v>
      </c>
      <c r="T10" s="140">
        <f t="shared" si="9"/>
        <v>-14</v>
      </c>
    </row>
    <row r="11" spans="2:20" s="104" customFormat="1" ht="12" x14ac:dyDescent="0.2">
      <c r="B11" s="127" t="s">
        <v>145</v>
      </c>
      <c r="C11" s="138"/>
      <c r="D11" s="138"/>
      <c r="E11" s="138"/>
      <c r="F11" s="125">
        <f>SUM(C7:E7)</f>
        <v>0</v>
      </c>
      <c r="G11" s="125" t="e">
        <f>F14</f>
        <v>#DIV/0!</v>
      </c>
      <c r="H11" s="125" t="e">
        <f t="shared" ref="H11:T11" si="10">G14</f>
        <v>#DIV/0!</v>
      </c>
      <c r="I11" s="125" t="e">
        <f t="shared" si="10"/>
        <v>#DIV/0!</v>
      </c>
      <c r="J11" s="125" t="e">
        <f t="shared" si="10"/>
        <v>#DIV/0!</v>
      </c>
      <c r="K11" s="125" t="e">
        <f t="shared" si="10"/>
        <v>#DIV/0!</v>
      </c>
      <c r="L11" s="125" t="e">
        <f t="shared" si="10"/>
        <v>#DIV/0!</v>
      </c>
      <c r="M11" s="125" t="e">
        <f t="shared" si="10"/>
        <v>#DIV/0!</v>
      </c>
      <c r="N11" s="125" t="e">
        <f t="shared" si="10"/>
        <v>#DIV/0!</v>
      </c>
      <c r="O11" s="125" t="e">
        <f t="shared" si="10"/>
        <v>#DIV/0!</v>
      </c>
      <c r="P11" s="125" t="e">
        <f t="shared" si="10"/>
        <v>#DIV/0!</v>
      </c>
      <c r="Q11" s="125" t="e">
        <f t="shared" si="10"/>
        <v>#DIV/0!</v>
      </c>
      <c r="R11" s="125" t="e">
        <f t="shared" si="10"/>
        <v>#DIV/0!</v>
      </c>
      <c r="S11" s="125" t="e">
        <f t="shared" si="10"/>
        <v>#DIV/0!</v>
      </c>
      <c r="T11" s="125" t="e">
        <f t="shared" si="10"/>
        <v>#DIV/0!</v>
      </c>
    </row>
    <row r="12" spans="2:20" s="104" customFormat="1" ht="12" x14ac:dyDescent="0.2">
      <c r="B12" s="127" t="s">
        <v>146</v>
      </c>
      <c r="C12" s="138"/>
      <c r="D12" s="138"/>
      <c r="E12" s="138"/>
      <c r="F12" s="125">
        <f t="shared" ref="F12:T12" si="11">F11*Inflation_rate</f>
        <v>0</v>
      </c>
      <c r="G12" s="125" t="e">
        <f t="shared" si="11"/>
        <v>#DIV/0!</v>
      </c>
      <c r="H12" s="125" t="e">
        <f t="shared" si="11"/>
        <v>#DIV/0!</v>
      </c>
      <c r="I12" s="125" t="e">
        <f t="shared" si="11"/>
        <v>#DIV/0!</v>
      </c>
      <c r="J12" s="125" t="e">
        <f t="shared" si="11"/>
        <v>#DIV/0!</v>
      </c>
      <c r="K12" s="125" t="e">
        <f t="shared" si="11"/>
        <v>#DIV/0!</v>
      </c>
      <c r="L12" s="125" t="e">
        <f t="shared" si="11"/>
        <v>#DIV/0!</v>
      </c>
      <c r="M12" s="125" t="e">
        <f t="shared" si="11"/>
        <v>#DIV/0!</v>
      </c>
      <c r="N12" s="125" t="e">
        <f t="shared" si="11"/>
        <v>#DIV/0!</v>
      </c>
      <c r="O12" s="125" t="e">
        <f t="shared" si="11"/>
        <v>#DIV/0!</v>
      </c>
      <c r="P12" s="125" t="e">
        <f t="shared" si="11"/>
        <v>#DIV/0!</v>
      </c>
      <c r="Q12" s="125" t="e">
        <f t="shared" si="11"/>
        <v>#DIV/0!</v>
      </c>
      <c r="R12" s="125" t="e">
        <f t="shared" si="11"/>
        <v>#DIV/0!</v>
      </c>
      <c r="S12" s="125" t="e">
        <f t="shared" si="11"/>
        <v>#DIV/0!</v>
      </c>
      <c r="T12" s="125" t="e">
        <f t="shared" si="11"/>
        <v>#DIV/0!</v>
      </c>
    </row>
    <row r="13" spans="2:20" s="104" customFormat="1" ht="12" x14ac:dyDescent="0.2">
      <c r="B13" s="127" t="s">
        <v>147</v>
      </c>
      <c r="C13" s="138"/>
      <c r="D13" s="138"/>
      <c r="E13" s="138"/>
      <c r="F13" s="125" t="e">
        <f>(F11+F12)/F10</f>
        <v>#DIV/0!</v>
      </c>
      <c r="G13" s="125" t="e">
        <f t="shared" ref="G13:T13" si="12">(G11+G12)/G10</f>
        <v>#DIV/0!</v>
      </c>
      <c r="H13" s="125" t="e">
        <f t="shared" si="12"/>
        <v>#DIV/0!</v>
      </c>
      <c r="I13" s="125" t="e">
        <f t="shared" si="12"/>
        <v>#DIV/0!</v>
      </c>
      <c r="J13" s="125" t="e">
        <f t="shared" si="12"/>
        <v>#DIV/0!</v>
      </c>
      <c r="K13" s="125" t="e">
        <f t="shared" si="12"/>
        <v>#DIV/0!</v>
      </c>
      <c r="L13" s="125" t="e">
        <f t="shared" si="12"/>
        <v>#DIV/0!</v>
      </c>
      <c r="M13" s="125" t="e">
        <f t="shared" si="12"/>
        <v>#DIV/0!</v>
      </c>
      <c r="N13" s="125" t="e">
        <f t="shared" si="12"/>
        <v>#DIV/0!</v>
      </c>
      <c r="O13" s="125" t="e">
        <f t="shared" si="12"/>
        <v>#DIV/0!</v>
      </c>
      <c r="P13" s="125" t="e">
        <f t="shared" si="12"/>
        <v>#DIV/0!</v>
      </c>
      <c r="Q13" s="125" t="e">
        <f t="shared" si="12"/>
        <v>#DIV/0!</v>
      </c>
      <c r="R13" s="125" t="e">
        <f t="shared" si="12"/>
        <v>#DIV/0!</v>
      </c>
      <c r="S13" s="125" t="e">
        <f t="shared" si="12"/>
        <v>#DIV/0!</v>
      </c>
      <c r="T13" s="125" t="e">
        <f t="shared" si="12"/>
        <v>#DIV/0!</v>
      </c>
    </row>
    <row r="14" spans="2:20" s="104" customFormat="1" ht="12" x14ac:dyDescent="0.2">
      <c r="B14" s="85" t="s">
        <v>148</v>
      </c>
      <c r="C14" s="86"/>
      <c r="D14" s="86"/>
      <c r="E14" s="86"/>
      <c r="F14" s="86" t="e">
        <f>F11+F12-F13</f>
        <v>#DIV/0!</v>
      </c>
      <c r="G14" s="86" t="e">
        <f t="shared" ref="G14:T14" si="13">G11+G12-G13</f>
        <v>#DIV/0!</v>
      </c>
      <c r="H14" s="86" t="e">
        <f t="shared" si="13"/>
        <v>#DIV/0!</v>
      </c>
      <c r="I14" s="86" t="e">
        <f t="shared" si="13"/>
        <v>#DIV/0!</v>
      </c>
      <c r="J14" s="86" t="e">
        <f t="shared" si="13"/>
        <v>#DIV/0!</v>
      </c>
      <c r="K14" s="86" t="e">
        <f t="shared" si="13"/>
        <v>#DIV/0!</v>
      </c>
      <c r="L14" s="86" t="e">
        <f t="shared" si="13"/>
        <v>#DIV/0!</v>
      </c>
      <c r="M14" s="86" t="e">
        <f t="shared" si="13"/>
        <v>#DIV/0!</v>
      </c>
      <c r="N14" s="86" t="e">
        <f t="shared" si="13"/>
        <v>#DIV/0!</v>
      </c>
      <c r="O14" s="86" t="e">
        <f t="shared" si="13"/>
        <v>#DIV/0!</v>
      </c>
      <c r="P14" s="86" t="e">
        <f t="shared" si="13"/>
        <v>#DIV/0!</v>
      </c>
      <c r="Q14" s="86" t="e">
        <f t="shared" si="13"/>
        <v>#DIV/0!</v>
      </c>
      <c r="R14" s="86" t="e">
        <f t="shared" si="13"/>
        <v>#DIV/0!</v>
      </c>
      <c r="S14" s="86" t="e">
        <f t="shared" si="13"/>
        <v>#DIV/0!</v>
      </c>
      <c r="T14" s="86" t="e">
        <f t="shared" si="13"/>
        <v>#DIV/0!</v>
      </c>
    </row>
    <row r="15" spans="2:20" s="104" customFormat="1" ht="12" x14ac:dyDescent="0.2"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</row>
    <row r="16" spans="2:20" s="104" customFormat="1" ht="12" x14ac:dyDescent="0.2">
      <c r="B16" s="81" t="s">
        <v>170</v>
      </c>
      <c r="C16" s="82" t="str">
        <f>C9</f>
        <v/>
      </c>
      <c r="D16" s="82" t="str">
        <f t="shared" ref="D16:T16" si="14">D9</f>
        <v/>
      </c>
      <c r="E16" s="82" t="str">
        <f t="shared" si="14"/>
        <v/>
      </c>
      <c r="F16" s="82">
        <f t="shared" si="14"/>
        <v>1900</v>
      </c>
      <c r="G16" s="82">
        <f t="shared" si="14"/>
        <v>1901</v>
      </c>
      <c r="H16" s="82">
        <f t="shared" si="14"/>
        <v>1902</v>
      </c>
      <c r="I16" s="82">
        <f t="shared" si="14"/>
        <v>1903</v>
      </c>
      <c r="J16" s="82">
        <f t="shared" si="14"/>
        <v>1904</v>
      </c>
      <c r="K16" s="82">
        <f t="shared" si="14"/>
        <v>1905</v>
      </c>
      <c r="L16" s="82">
        <f t="shared" si="14"/>
        <v>1906</v>
      </c>
      <c r="M16" s="82">
        <f t="shared" si="14"/>
        <v>1907</v>
      </c>
      <c r="N16" s="82">
        <f t="shared" si="14"/>
        <v>1908</v>
      </c>
      <c r="O16" s="82">
        <f t="shared" si="14"/>
        <v>1909</v>
      </c>
      <c r="P16" s="82">
        <f t="shared" si="14"/>
        <v>1910</v>
      </c>
      <c r="Q16" s="82">
        <f t="shared" si="14"/>
        <v>1911</v>
      </c>
      <c r="R16" s="82">
        <f t="shared" si="14"/>
        <v>1912</v>
      </c>
      <c r="S16" s="82">
        <f t="shared" si="14"/>
        <v>1913</v>
      </c>
      <c r="T16" s="82">
        <f t="shared" si="14"/>
        <v>1914</v>
      </c>
    </row>
    <row r="17" spans="2:20" s="104" customFormat="1" ht="12" x14ac:dyDescent="0.2">
      <c r="B17" s="127" t="s">
        <v>149</v>
      </c>
      <c r="C17" s="138"/>
      <c r="D17" s="138"/>
      <c r="E17" s="138"/>
      <c r="F17" s="139">
        <f>Asset_life</f>
        <v>0</v>
      </c>
      <c r="G17" s="140">
        <f>F17-1</f>
        <v>-1</v>
      </c>
      <c r="H17" s="140">
        <f t="shared" ref="H17" si="15">G17-1</f>
        <v>-2</v>
      </c>
      <c r="I17" s="140">
        <f t="shared" ref="I17" si="16">H17-1</f>
        <v>-3</v>
      </c>
      <c r="J17" s="140">
        <f t="shared" ref="J17" si="17">I17-1</f>
        <v>-4</v>
      </c>
      <c r="K17" s="140">
        <f t="shared" ref="K17" si="18">J17-1</f>
        <v>-5</v>
      </c>
      <c r="L17" s="140">
        <f t="shared" ref="L17" si="19">K17-1</f>
        <v>-6</v>
      </c>
      <c r="M17" s="140">
        <f t="shared" ref="M17" si="20">L17-1</f>
        <v>-7</v>
      </c>
      <c r="N17" s="140">
        <f t="shared" ref="N17" si="21">M17-1</f>
        <v>-8</v>
      </c>
      <c r="O17" s="140">
        <f t="shared" ref="O17" si="22">N17-1</f>
        <v>-9</v>
      </c>
      <c r="P17" s="140">
        <f t="shared" ref="P17" si="23">O17-1</f>
        <v>-10</v>
      </c>
      <c r="Q17" s="140">
        <f t="shared" ref="Q17" si="24">P17-1</f>
        <v>-11</v>
      </c>
      <c r="R17" s="140">
        <f t="shared" ref="R17" si="25">Q17-1</f>
        <v>-12</v>
      </c>
      <c r="S17" s="140">
        <f t="shared" ref="S17" si="26">R17-1</f>
        <v>-13</v>
      </c>
      <c r="T17" s="140">
        <f t="shared" ref="T17" si="27">S17-1</f>
        <v>-14</v>
      </c>
    </row>
    <row r="18" spans="2:20" s="104" customFormat="1" ht="12" x14ac:dyDescent="0.2">
      <c r="B18" s="127" t="s">
        <v>145</v>
      </c>
      <c r="C18" s="138"/>
      <c r="D18" s="138"/>
      <c r="E18" s="138"/>
      <c r="F18" s="125">
        <f>'Capital Cost Breakdown'!H43</f>
        <v>0</v>
      </c>
      <c r="G18" s="125" t="e">
        <f>F21</f>
        <v>#DIV/0!</v>
      </c>
      <c r="H18" s="125" t="e">
        <f t="shared" ref="H18" si="28">G21</f>
        <v>#DIV/0!</v>
      </c>
      <c r="I18" s="125" t="e">
        <f t="shared" ref="I18" si="29">H21</f>
        <v>#DIV/0!</v>
      </c>
      <c r="J18" s="125" t="e">
        <f t="shared" ref="J18" si="30">I21</f>
        <v>#DIV/0!</v>
      </c>
      <c r="K18" s="125" t="e">
        <f t="shared" ref="K18" si="31">J21</f>
        <v>#DIV/0!</v>
      </c>
      <c r="L18" s="125" t="e">
        <f t="shared" ref="L18" si="32">K21</f>
        <v>#DIV/0!</v>
      </c>
      <c r="M18" s="125" t="e">
        <f t="shared" ref="M18" si="33">L21</f>
        <v>#DIV/0!</v>
      </c>
      <c r="N18" s="125" t="e">
        <f t="shared" ref="N18" si="34">M21</f>
        <v>#DIV/0!</v>
      </c>
      <c r="O18" s="125" t="e">
        <f t="shared" ref="O18" si="35">N21</f>
        <v>#DIV/0!</v>
      </c>
      <c r="P18" s="125" t="e">
        <f t="shared" ref="P18" si="36">O21</f>
        <v>#DIV/0!</v>
      </c>
      <c r="Q18" s="125" t="e">
        <f t="shared" ref="Q18" si="37">P21</f>
        <v>#DIV/0!</v>
      </c>
      <c r="R18" s="125" t="e">
        <f t="shared" ref="R18" si="38">Q21</f>
        <v>#DIV/0!</v>
      </c>
      <c r="S18" s="125" t="e">
        <f t="shared" ref="S18" si="39">R21</f>
        <v>#DIV/0!</v>
      </c>
      <c r="T18" s="125" t="e">
        <f t="shared" ref="T18" si="40">S21</f>
        <v>#DIV/0!</v>
      </c>
    </row>
    <row r="19" spans="2:20" s="104" customFormat="1" ht="12" x14ac:dyDescent="0.2">
      <c r="B19" s="127" t="s">
        <v>146</v>
      </c>
      <c r="C19" s="138"/>
      <c r="D19" s="138"/>
      <c r="E19" s="138"/>
      <c r="F19" s="125">
        <f t="shared" ref="F19:T19" si="41">F18*Inflation_rate</f>
        <v>0</v>
      </c>
      <c r="G19" s="125" t="e">
        <f t="shared" si="41"/>
        <v>#DIV/0!</v>
      </c>
      <c r="H19" s="125" t="e">
        <f t="shared" si="41"/>
        <v>#DIV/0!</v>
      </c>
      <c r="I19" s="125" t="e">
        <f t="shared" si="41"/>
        <v>#DIV/0!</v>
      </c>
      <c r="J19" s="125" t="e">
        <f t="shared" si="41"/>
        <v>#DIV/0!</v>
      </c>
      <c r="K19" s="125" t="e">
        <f t="shared" si="41"/>
        <v>#DIV/0!</v>
      </c>
      <c r="L19" s="125" t="e">
        <f t="shared" si="41"/>
        <v>#DIV/0!</v>
      </c>
      <c r="M19" s="125" t="e">
        <f t="shared" si="41"/>
        <v>#DIV/0!</v>
      </c>
      <c r="N19" s="125" t="e">
        <f t="shared" si="41"/>
        <v>#DIV/0!</v>
      </c>
      <c r="O19" s="125" t="e">
        <f t="shared" si="41"/>
        <v>#DIV/0!</v>
      </c>
      <c r="P19" s="125" t="e">
        <f t="shared" si="41"/>
        <v>#DIV/0!</v>
      </c>
      <c r="Q19" s="125" t="e">
        <f t="shared" si="41"/>
        <v>#DIV/0!</v>
      </c>
      <c r="R19" s="125" t="e">
        <f t="shared" si="41"/>
        <v>#DIV/0!</v>
      </c>
      <c r="S19" s="125" t="e">
        <f t="shared" si="41"/>
        <v>#DIV/0!</v>
      </c>
      <c r="T19" s="125" t="e">
        <f t="shared" si="41"/>
        <v>#DIV/0!</v>
      </c>
    </row>
    <row r="20" spans="2:20" s="104" customFormat="1" ht="12" x14ac:dyDescent="0.2">
      <c r="B20" s="127" t="s">
        <v>147</v>
      </c>
      <c r="C20" s="138"/>
      <c r="D20" s="138"/>
      <c r="E20" s="138"/>
      <c r="F20" s="125" t="e">
        <f>(F18+F19)/F17</f>
        <v>#DIV/0!</v>
      </c>
      <c r="G20" s="125" t="e">
        <f t="shared" ref="G20:T20" si="42">(G18+G19)/G17</f>
        <v>#DIV/0!</v>
      </c>
      <c r="H20" s="125" t="e">
        <f t="shared" si="42"/>
        <v>#DIV/0!</v>
      </c>
      <c r="I20" s="125" t="e">
        <f t="shared" si="42"/>
        <v>#DIV/0!</v>
      </c>
      <c r="J20" s="125" t="e">
        <f t="shared" si="42"/>
        <v>#DIV/0!</v>
      </c>
      <c r="K20" s="125" t="e">
        <f t="shared" si="42"/>
        <v>#DIV/0!</v>
      </c>
      <c r="L20" s="125" t="e">
        <f t="shared" si="42"/>
        <v>#DIV/0!</v>
      </c>
      <c r="M20" s="125" t="e">
        <f t="shared" si="42"/>
        <v>#DIV/0!</v>
      </c>
      <c r="N20" s="125" t="e">
        <f t="shared" si="42"/>
        <v>#DIV/0!</v>
      </c>
      <c r="O20" s="125" t="e">
        <f t="shared" si="42"/>
        <v>#DIV/0!</v>
      </c>
      <c r="P20" s="125" t="e">
        <f t="shared" si="42"/>
        <v>#DIV/0!</v>
      </c>
      <c r="Q20" s="125" t="e">
        <f t="shared" si="42"/>
        <v>#DIV/0!</v>
      </c>
      <c r="R20" s="125" t="e">
        <f t="shared" si="42"/>
        <v>#DIV/0!</v>
      </c>
      <c r="S20" s="125" t="e">
        <f t="shared" si="42"/>
        <v>#DIV/0!</v>
      </c>
      <c r="T20" s="125" t="e">
        <f t="shared" si="42"/>
        <v>#DIV/0!</v>
      </c>
    </row>
    <row r="21" spans="2:20" s="104" customFormat="1" ht="12" x14ac:dyDescent="0.2">
      <c r="B21" s="85" t="s">
        <v>148</v>
      </c>
      <c r="C21" s="86"/>
      <c r="D21" s="86"/>
      <c r="E21" s="86"/>
      <c r="F21" s="86" t="e">
        <f>F18+F19-F20</f>
        <v>#DIV/0!</v>
      </c>
      <c r="G21" s="86" t="e">
        <f t="shared" ref="G21:T21" si="43">G18+G19-G20</f>
        <v>#DIV/0!</v>
      </c>
      <c r="H21" s="86" t="e">
        <f t="shared" si="43"/>
        <v>#DIV/0!</v>
      </c>
      <c r="I21" s="86" t="e">
        <f t="shared" si="43"/>
        <v>#DIV/0!</v>
      </c>
      <c r="J21" s="86" t="e">
        <f t="shared" si="43"/>
        <v>#DIV/0!</v>
      </c>
      <c r="K21" s="86" t="e">
        <f t="shared" si="43"/>
        <v>#DIV/0!</v>
      </c>
      <c r="L21" s="86" t="e">
        <f t="shared" si="43"/>
        <v>#DIV/0!</v>
      </c>
      <c r="M21" s="86" t="e">
        <f t="shared" si="43"/>
        <v>#DIV/0!</v>
      </c>
      <c r="N21" s="86" t="e">
        <f t="shared" si="43"/>
        <v>#DIV/0!</v>
      </c>
      <c r="O21" s="86" t="e">
        <f t="shared" si="43"/>
        <v>#DIV/0!</v>
      </c>
      <c r="P21" s="86" t="e">
        <f t="shared" si="43"/>
        <v>#DIV/0!</v>
      </c>
      <c r="Q21" s="86" t="e">
        <f t="shared" si="43"/>
        <v>#DIV/0!</v>
      </c>
      <c r="R21" s="86" t="e">
        <f t="shared" si="43"/>
        <v>#DIV/0!</v>
      </c>
      <c r="S21" s="86" t="e">
        <f t="shared" si="43"/>
        <v>#DIV/0!</v>
      </c>
      <c r="T21" s="86" t="e">
        <f t="shared" si="43"/>
        <v>#DIV/0!</v>
      </c>
    </row>
    <row r="22" spans="2:20" s="106" customFormat="1" ht="12" x14ac:dyDescent="0.2">
      <c r="B22" s="10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2:20" s="104" customFormat="1" ht="12" x14ac:dyDescent="0.2">
      <c r="B23" s="81" t="s">
        <v>121</v>
      </c>
      <c r="C23" s="82" t="str">
        <f t="shared" ref="C23:T23" si="44">C3</f>
        <v/>
      </c>
      <c r="D23" s="82" t="str">
        <f t="shared" si="44"/>
        <v/>
      </c>
      <c r="E23" s="82" t="str">
        <f t="shared" si="44"/>
        <v/>
      </c>
      <c r="F23" s="82">
        <f t="shared" si="44"/>
        <v>1900</v>
      </c>
      <c r="G23" s="82">
        <f t="shared" si="44"/>
        <v>1901</v>
      </c>
      <c r="H23" s="82">
        <f t="shared" si="44"/>
        <v>1902</v>
      </c>
      <c r="I23" s="82">
        <f t="shared" si="44"/>
        <v>1903</v>
      </c>
      <c r="J23" s="82">
        <f t="shared" si="44"/>
        <v>1904</v>
      </c>
      <c r="K23" s="82">
        <f t="shared" si="44"/>
        <v>1905</v>
      </c>
      <c r="L23" s="82">
        <f t="shared" si="44"/>
        <v>1906</v>
      </c>
      <c r="M23" s="82">
        <f t="shared" si="44"/>
        <v>1907</v>
      </c>
      <c r="N23" s="82">
        <f t="shared" si="44"/>
        <v>1908</v>
      </c>
      <c r="O23" s="82">
        <f t="shared" si="44"/>
        <v>1909</v>
      </c>
      <c r="P23" s="82">
        <f t="shared" si="44"/>
        <v>1910</v>
      </c>
      <c r="Q23" s="82">
        <f t="shared" si="44"/>
        <v>1911</v>
      </c>
      <c r="R23" s="82">
        <f t="shared" si="44"/>
        <v>1912</v>
      </c>
      <c r="S23" s="82">
        <f t="shared" si="44"/>
        <v>1913</v>
      </c>
      <c r="T23" s="82">
        <f t="shared" si="44"/>
        <v>1914</v>
      </c>
    </row>
    <row r="24" spans="2:20" s="126" customFormat="1" ht="12" x14ac:dyDescent="0.2">
      <c r="B24" s="124" t="str">
        <f>'Financial Inputs'!B15</f>
        <v>Staff salaries</v>
      </c>
      <c r="C24" s="143"/>
      <c r="D24" s="143"/>
      <c r="E24" s="143"/>
      <c r="F24" s="125">
        <f>'Financial Inputs'!G15*(1+Inflation_rate)^F$2</f>
        <v>0</v>
      </c>
      <c r="G24" s="125">
        <f>'Financial Inputs'!H15*(1+Inflation_rate)^G$2</f>
        <v>0</v>
      </c>
      <c r="H24" s="125">
        <f>'Financial Inputs'!I15*(1+Inflation_rate)^H$2</f>
        <v>0</v>
      </c>
      <c r="I24" s="125">
        <f>'Financial Inputs'!J15*(1+Inflation_rate)^I$2</f>
        <v>0</v>
      </c>
      <c r="J24" s="125">
        <f>'Financial Inputs'!K15*(1+Inflation_rate)^J$2</f>
        <v>0</v>
      </c>
      <c r="K24" s="125">
        <f>'Financial Inputs'!L15*(1+Inflation_rate)^K$2</f>
        <v>0</v>
      </c>
      <c r="L24" s="125">
        <f>'Financial Inputs'!M15*(1+Inflation_rate)^L$2</f>
        <v>0</v>
      </c>
      <c r="M24" s="125">
        <f>'Financial Inputs'!N15*(1+Inflation_rate)^M$2</f>
        <v>0</v>
      </c>
      <c r="N24" s="125">
        <f>'Financial Inputs'!O15*(1+Inflation_rate)^N$2</f>
        <v>0</v>
      </c>
      <c r="O24" s="125">
        <f>'Financial Inputs'!P15*(1+Inflation_rate)^O$2</f>
        <v>0</v>
      </c>
      <c r="P24" s="125">
        <f>'Financial Inputs'!Q15*(1+Inflation_rate)^P$2</f>
        <v>0</v>
      </c>
      <c r="Q24" s="125">
        <f>'Financial Inputs'!R15*(1+Inflation_rate)^Q$2</f>
        <v>0</v>
      </c>
      <c r="R24" s="125">
        <f>'Financial Inputs'!S15*(1+Inflation_rate)^R$2</f>
        <v>0</v>
      </c>
      <c r="S24" s="125">
        <f>'Financial Inputs'!T15*(1+Inflation_rate)^S$2</f>
        <v>0</v>
      </c>
      <c r="T24" s="125">
        <f>'Financial Inputs'!U15*(1+Inflation_rate)^T$2</f>
        <v>0</v>
      </c>
    </row>
    <row r="25" spans="2:20" s="126" customFormat="1" ht="12" x14ac:dyDescent="0.2">
      <c r="B25" s="124" t="str">
        <f>'Financial Inputs'!B16</f>
        <v>Management, overheads, administration</v>
      </c>
      <c r="C25" s="143"/>
      <c r="D25" s="143"/>
      <c r="E25" s="143"/>
      <c r="F25" s="125">
        <f>'Financial Inputs'!G16*(1+Inflation_rate)^F$2</f>
        <v>0</v>
      </c>
      <c r="G25" s="125">
        <f>'Financial Inputs'!H16*(1+Inflation_rate)^G$2</f>
        <v>0</v>
      </c>
      <c r="H25" s="125">
        <f>'Financial Inputs'!I16*(1+Inflation_rate)^H$2</f>
        <v>0</v>
      </c>
      <c r="I25" s="125">
        <f>'Financial Inputs'!J16*(1+Inflation_rate)^I$2</f>
        <v>0</v>
      </c>
      <c r="J25" s="125">
        <f>'Financial Inputs'!K16*(1+Inflation_rate)^J$2</f>
        <v>0</v>
      </c>
      <c r="K25" s="125">
        <f>'Financial Inputs'!L16*(1+Inflation_rate)^K$2</f>
        <v>0</v>
      </c>
      <c r="L25" s="125">
        <f>'Financial Inputs'!M16*(1+Inflation_rate)^L$2</f>
        <v>0</v>
      </c>
      <c r="M25" s="125">
        <f>'Financial Inputs'!N16*(1+Inflation_rate)^M$2</f>
        <v>0</v>
      </c>
      <c r="N25" s="125">
        <f>'Financial Inputs'!O16*(1+Inflation_rate)^N$2</f>
        <v>0</v>
      </c>
      <c r="O25" s="125">
        <f>'Financial Inputs'!P16*(1+Inflation_rate)^O$2</f>
        <v>0</v>
      </c>
      <c r="P25" s="125">
        <f>'Financial Inputs'!Q16*(1+Inflation_rate)^P$2</f>
        <v>0</v>
      </c>
      <c r="Q25" s="125">
        <f>'Financial Inputs'!R16*(1+Inflation_rate)^Q$2</f>
        <v>0</v>
      </c>
      <c r="R25" s="125">
        <f>'Financial Inputs'!S16*(1+Inflation_rate)^R$2</f>
        <v>0</v>
      </c>
      <c r="S25" s="125">
        <f>'Financial Inputs'!T16*(1+Inflation_rate)^S$2</f>
        <v>0</v>
      </c>
      <c r="T25" s="125">
        <f>'Financial Inputs'!U16*(1+Inflation_rate)^T$2</f>
        <v>0</v>
      </c>
    </row>
    <row r="26" spans="2:20" s="126" customFormat="1" ht="12" x14ac:dyDescent="0.2">
      <c r="B26" s="124" t="str">
        <f>'Financial Inputs'!B17</f>
        <v>Maintenance</v>
      </c>
      <c r="C26" s="143"/>
      <c r="D26" s="143"/>
      <c r="E26" s="143"/>
      <c r="F26" s="125">
        <f>'Financial Inputs'!G17*(1+Inflation_rate)^F$2</f>
        <v>0</v>
      </c>
      <c r="G26" s="125">
        <f>'Financial Inputs'!H17*(1+Inflation_rate)^G$2</f>
        <v>0</v>
      </c>
      <c r="H26" s="125">
        <f>'Financial Inputs'!I17*(1+Inflation_rate)^H$2</f>
        <v>0</v>
      </c>
      <c r="I26" s="125">
        <f>'Financial Inputs'!J17*(1+Inflation_rate)^I$2</f>
        <v>0</v>
      </c>
      <c r="J26" s="125">
        <f>'Financial Inputs'!K17*(1+Inflation_rate)^J$2</f>
        <v>0</v>
      </c>
      <c r="K26" s="125">
        <f>'Financial Inputs'!L17*(1+Inflation_rate)^K$2</f>
        <v>0</v>
      </c>
      <c r="L26" s="125">
        <f>'Financial Inputs'!M17*(1+Inflation_rate)^L$2</f>
        <v>0</v>
      </c>
      <c r="M26" s="125">
        <f>'Financial Inputs'!N17*(1+Inflation_rate)^M$2</f>
        <v>0</v>
      </c>
      <c r="N26" s="125">
        <f>'Financial Inputs'!O17*(1+Inflation_rate)^N$2</f>
        <v>0</v>
      </c>
      <c r="O26" s="125">
        <f>'Financial Inputs'!P17*(1+Inflation_rate)^O$2</f>
        <v>0</v>
      </c>
      <c r="P26" s="125">
        <f>'Financial Inputs'!Q17*(1+Inflation_rate)^P$2</f>
        <v>0</v>
      </c>
      <c r="Q26" s="125">
        <f>'Financial Inputs'!R17*(1+Inflation_rate)^Q$2</f>
        <v>0</v>
      </c>
      <c r="R26" s="125">
        <f>'Financial Inputs'!S17*(1+Inflation_rate)^R$2</f>
        <v>0</v>
      </c>
      <c r="S26" s="125">
        <f>'Financial Inputs'!T17*(1+Inflation_rate)^S$2</f>
        <v>0</v>
      </c>
      <c r="T26" s="125">
        <f>'Financial Inputs'!U17*(1+Inflation_rate)^T$2</f>
        <v>0</v>
      </c>
    </row>
    <row r="27" spans="2:20" s="126" customFormat="1" ht="12" x14ac:dyDescent="0.2">
      <c r="B27" s="124" t="str">
        <f>'Financial Inputs'!B18</f>
        <v>Plant hire</v>
      </c>
      <c r="C27" s="143"/>
      <c r="D27" s="143"/>
      <c r="E27" s="143"/>
      <c r="F27" s="125">
        <f>'Financial Inputs'!G18*(1+Inflation_rate)^F$2</f>
        <v>0</v>
      </c>
      <c r="G27" s="125">
        <f>'Financial Inputs'!H18*(1+Inflation_rate)^G$2</f>
        <v>0</v>
      </c>
      <c r="H27" s="125">
        <f>'Financial Inputs'!I18*(1+Inflation_rate)^H$2</f>
        <v>0</v>
      </c>
      <c r="I27" s="125">
        <f>'Financial Inputs'!J18*(1+Inflation_rate)^I$2</f>
        <v>0</v>
      </c>
      <c r="J27" s="125">
        <f>'Financial Inputs'!K18*(1+Inflation_rate)^J$2</f>
        <v>0</v>
      </c>
      <c r="K27" s="125">
        <f>'Financial Inputs'!L18*(1+Inflation_rate)^K$2</f>
        <v>0</v>
      </c>
      <c r="L27" s="125">
        <f>'Financial Inputs'!M18*(1+Inflation_rate)^L$2</f>
        <v>0</v>
      </c>
      <c r="M27" s="125">
        <f>'Financial Inputs'!N18*(1+Inflation_rate)^M$2</f>
        <v>0</v>
      </c>
      <c r="N27" s="125">
        <f>'Financial Inputs'!O18*(1+Inflation_rate)^N$2</f>
        <v>0</v>
      </c>
      <c r="O27" s="125">
        <f>'Financial Inputs'!P18*(1+Inflation_rate)^O$2</f>
        <v>0</v>
      </c>
      <c r="P27" s="125">
        <f>'Financial Inputs'!Q18*(1+Inflation_rate)^P$2</f>
        <v>0</v>
      </c>
      <c r="Q27" s="125">
        <f>'Financial Inputs'!R18*(1+Inflation_rate)^Q$2</f>
        <v>0</v>
      </c>
      <c r="R27" s="125">
        <f>'Financial Inputs'!S18*(1+Inflation_rate)^R$2</f>
        <v>0</v>
      </c>
      <c r="S27" s="125">
        <f>'Financial Inputs'!T18*(1+Inflation_rate)^S$2</f>
        <v>0</v>
      </c>
      <c r="T27" s="125">
        <f>'Financial Inputs'!U18*(1+Inflation_rate)^T$2</f>
        <v>0</v>
      </c>
    </row>
    <row r="28" spans="2:20" s="126" customFormat="1" ht="12" x14ac:dyDescent="0.2">
      <c r="B28" s="124" t="str">
        <f>'Financial Inputs'!B19</f>
        <v>Transport costs (e.g. products, residuals)</v>
      </c>
      <c r="C28" s="143"/>
      <c r="D28" s="143"/>
      <c r="E28" s="143"/>
      <c r="F28" s="125">
        <f>'Financial Inputs'!G19*(1+Inflation_rate)^F$2</f>
        <v>0</v>
      </c>
      <c r="G28" s="125">
        <f>'Financial Inputs'!H19*(1+Inflation_rate)^G$2</f>
        <v>0</v>
      </c>
      <c r="H28" s="125">
        <f>'Financial Inputs'!I19*(1+Inflation_rate)^H$2</f>
        <v>0</v>
      </c>
      <c r="I28" s="125">
        <f>'Financial Inputs'!J19*(1+Inflation_rate)^I$2</f>
        <v>0</v>
      </c>
      <c r="J28" s="125">
        <f>'Financial Inputs'!K19*(1+Inflation_rate)^J$2</f>
        <v>0</v>
      </c>
      <c r="K28" s="125">
        <f>'Financial Inputs'!L19*(1+Inflation_rate)^K$2</f>
        <v>0</v>
      </c>
      <c r="L28" s="125">
        <f>'Financial Inputs'!M19*(1+Inflation_rate)^L$2</f>
        <v>0</v>
      </c>
      <c r="M28" s="125">
        <f>'Financial Inputs'!N19*(1+Inflation_rate)^M$2</f>
        <v>0</v>
      </c>
      <c r="N28" s="125">
        <f>'Financial Inputs'!O19*(1+Inflation_rate)^N$2</f>
        <v>0</v>
      </c>
      <c r="O28" s="125">
        <f>'Financial Inputs'!P19*(1+Inflation_rate)^O$2</f>
        <v>0</v>
      </c>
      <c r="P28" s="125">
        <f>'Financial Inputs'!Q19*(1+Inflation_rate)^P$2</f>
        <v>0</v>
      </c>
      <c r="Q28" s="125">
        <f>'Financial Inputs'!R19*(1+Inflation_rate)^Q$2</f>
        <v>0</v>
      </c>
      <c r="R28" s="125">
        <f>'Financial Inputs'!S19*(1+Inflation_rate)^R$2</f>
        <v>0</v>
      </c>
      <c r="S28" s="125">
        <f>'Financial Inputs'!T19*(1+Inflation_rate)^S$2</f>
        <v>0</v>
      </c>
      <c r="T28" s="125">
        <f>'Financial Inputs'!U19*(1+Inflation_rate)^T$2</f>
        <v>0</v>
      </c>
    </row>
    <row r="29" spans="2:20" s="126" customFormat="1" ht="12" x14ac:dyDescent="0.2">
      <c r="B29" s="124" t="str">
        <f>'Financial Inputs'!B20</f>
        <v>Landfill disposal costs</v>
      </c>
      <c r="C29" s="143"/>
      <c r="D29" s="143"/>
      <c r="E29" s="143"/>
      <c r="F29" s="125">
        <f>'Financial Inputs'!G20*(1+Inflation_rate)^F$2</f>
        <v>0</v>
      </c>
      <c r="G29" s="125">
        <f>'Financial Inputs'!H20*(1+Inflation_rate)^G$2</f>
        <v>0</v>
      </c>
      <c r="H29" s="125">
        <f>'Financial Inputs'!I20*(1+Inflation_rate)^H$2</f>
        <v>0</v>
      </c>
      <c r="I29" s="125">
        <f>'Financial Inputs'!J20*(1+Inflation_rate)^I$2</f>
        <v>0</v>
      </c>
      <c r="J29" s="125">
        <f>'Financial Inputs'!K20*(1+Inflation_rate)^J$2</f>
        <v>0</v>
      </c>
      <c r="K29" s="125">
        <f>'Financial Inputs'!L20*(1+Inflation_rate)^K$2</f>
        <v>0</v>
      </c>
      <c r="L29" s="125">
        <f>'Financial Inputs'!M20*(1+Inflation_rate)^L$2</f>
        <v>0</v>
      </c>
      <c r="M29" s="125">
        <f>'Financial Inputs'!N20*(1+Inflation_rate)^M$2</f>
        <v>0</v>
      </c>
      <c r="N29" s="125">
        <f>'Financial Inputs'!O20*(1+Inflation_rate)^N$2</f>
        <v>0</v>
      </c>
      <c r="O29" s="125">
        <f>'Financial Inputs'!P20*(1+Inflation_rate)^O$2</f>
        <v>0</v>
      </c>
      <c r="P29" s="125">
        <f>'Financial Inputs'!Q20*(1+Inflation_rate)^P$2</f>
        <v>0</v>
      </c>
      <c r="Q29" s="125">
        <f>'Financial Inputs'!R20*(1+Inflation_rate)^Q$2</f>
        <v>0</v>
      </c>
      <c r="R29" s="125">
        <f>'Financial Inputs'!S20*(1+Inflation_rate)^R$2</f>
        <v>0</v>
      </c>
      <c r="S29" s="125">
        <f>'Financial Inputs'!T20*(1+Inflation_rate)^S$2</f>
        <v>0</v>
      </c>
      <c r="T29" s="125">
        <f>'Financial Inputs'!U20*(1+Inflation_rate)^T$2</f>
        <v>0</v>
      </c>
    </row>
    <row r="30" spans="2:20" s="126" customFormat="1" ht="12" x14ac:dyDescent="0.2">
      <c r="B30" s="124" t="str">
        <f>'Financial Inputs'!B21</f>
        <v>[other - enter details]</v>
      </c>
      <c r="C30" s="143"/>
      <c r="D30" s="143"/>
      <c r="E30" s="143"/>
      <c r="F30" s="125">
        <f>'Financial Inputs'!G21*(1+Inflation_rate)^F$2</f>
        <v>0</v>
      </c>
      <c r="G30" s="125">
        <f>'Financial Inputs'!H21*(1+Inflation_rate)^G$2</f>
        <v>0</v>
      </c>
      <c r="H30" s="125">
        <f>'Financial Inputs'!I21*(1+Inflation_rate)^H$2</f>
        <v>0</v>
      </c>
      <c r="I30" s="125">
        <f>'Financial Inputs'!J21*(1+Inflation_rate)^I$2</f>
        <v>0</v>
      </c>
      <c r="J30" s="125">
        <f>'Financial Inputs'!K21*(1+Inflation_rate)^J$2</f>
        <v>0</v>
      </c>
      <c r="K30" s="125">
        <f>'Financial Inputs'!L21*(1+Inflation_rate)^K$2</f>
        <v>0</v>
      </c>
      <c r="L30" s="125">
        <f>'Financial Inputs'!M21*(1+Inflation_rate)^L$2</f>
        <v>0</v>
      </c>
      <c r="M30" s="125">
        <f>'Financial Inputs'!N21*(1+Inflation_rate)^M$2</f>
        <v>0</v>
      </c>
      <c r="N30" s="125">
        <f>'Financial Inputs'!O21*(1+Inflation_rate)^N$2</f>
        <v>0</v>
      </c>
      <c r="O30" s="125">
        <f>'Financial Inputs'!P21*(1+Inflation_rate)^O$2</f>
        <v>0</v>
      </c>
      <c r="P30" s="125">
        <f>'Financial Inputs'!Q21*(1+Inflation_rate)^P$2</f>
        <v>0</v>
      </c>
      <c r="Q30" s="125">
        <f>'Financial Inputs'!R21*(1+Inflation_rate)^Q$2</f>
        <v>0</v>
      </c>
      <c r="R30" s="125">
        <f>'Financial Inputs'!S21*(1+Inflation_rate)^R$2</f>
        <v>0</v>
      </c>
      <c r="S30" s="125">
        <f>'Financial Inputs'!T21*(1+Inflation_rate)^S$2</f>
        <v>0</v>
      </c>
      <c r="T30" s="125">
        <f>'Financial Inputs'!U21*(1+Inflation_rate)^T$2</f>
        <v>0</v>
      </c>
    </row>
    <row r="31" spans="2:20" s="126" customFormat="1" ht="12" x14ac:dyDescent="0.2">
      <c r="B31" s="124" t="str">
        <f>'Financial Inputs'!B22</f>
        <v>[other - enter details]</v>
      </c>
      <c r="C31" s="143"/>
      <c r="D31" s="143"/>
      <c r="E31" s="143"/>
      <c r="F31" s="125">
        <f>'Financial Inputs'!G22*(1+Inflation_rate)^F$2</f>
        <v>0</v>
      </c>
      <c r="G31" s="125">
        <f>'Financial Inputs'!H22*(1+Inflation_rate)^G$2</f>
        <v>0</v>
      </c>
      <c r="H31" s="125">
        <f>'Financial Inputs'!I22*(1+Inflation_rate)^H$2</f>
        <v>0</v>
      </c>
      <c r="I31" s="125">
        <f>'Financial Inputs'!J22*(1+Inflation_rate)^I$2</f>
        <v>0</v>
      </c>
      <c r="J31" s="125">
        <f>'Financial Inputs'!K22*(1+Inflation_rate)^J$2</f>
        <v>0</v>
      </c>
      <c r="K31" s="125">
        <f>'Financial Inputs'!L22*(1+Inflation_rate)^K$2</f>
        <v>0</v>
      </c>
      <c r="L31" s="125">
        <f>'Financial Inputs'!M22*(1+Inflation_rate)^L$2</f>
        <v>0</v>
      </c>
      <c r="M31" s="125">
        <f>'Financial Inputs'!N22*(1+Inflation_rate)^M$2</f>
        <v>0</v>
      </c>
      <c r="N31" s="125">
        <f>'Financial Inputs'!O22*(1+Inflation_rate)^N$2</f>
        <v>0</v>
      </c>
      <c r="O31" s="125">
        <f>'Financial Inputs'!P22*(1+Inflation_rate)^O$2</f>
        <v>0</v>
      </c>
      <c r="P31" s="125">
        <f>'Financial Inputs'!Q22*(1+Inflation_rate)^P$2</f>
        <v>0</v>
      </c>
      <c r="Q31" s="125">
        <f>'Financial Inputs'!R22*(1+Inflation_rate)^Q$2</f>
        <v>0</v>
      </c>
      <c r="R31" s="125">
        <f>'Financial Inputs'!S22*(1+Inflation_rate)^R$2</f>
        <v>0</v>
      </c>
      <c r="S31" s="125">
        <f>'Financial Inputs'!T22*(1+Inflation_rate)^S$2</f>
        <v>0</v>
      </c>
      <c r="T31" s="125">
        <f>'Financial Inputs'!U22*(1+Inflation_rate)^T$2</f>
        <v>0</v>
      </c>
    </row>
    <row r="32" spans="2:20" s="126" customFormat="1" ht="12" x14ac:dyDescent="0.2">
      <c r="B32" s="124" t="str">
        <f>'Financial Inputs'!B23</f>
        <v>[other - enter details]</v>
      </c>
      <c r="C32" s="143"/>
      <c r="D32" s="143"/>
      <c r="E32" s="143"/>
      <c r="F32" s="125">
        <f>'Financial Inputs'!G23*(1+Inflation_rate)^F$2</f>
        <v>0</v>
      </c>
      <c r="G32" s="125">
        <f>'Financial Inputs'!H23*(1+Inflation_rate)^G$2</f>
        <v>0</v>
      </c>
      <c r="H32" s="125">
        <f>'Financial Inputs'!I23*(1+Inflation_rate)^H$2</f>
        <v>0</v>
      </c>
      <c r="I32" s="125">
        <f>'Financial Inputs'!J23*(1+Inflation_rate)^I$2</f>
        <v>0</v>
      </c>
      <c r="J32" s="125">
        <f>'Financial Inputs'!K23*(1+Inflation_rate)^J$2</f>
        <v>0</v>
      </c>
      <c r="K32" s="125">
        <f>'Financial Inputs'!L23*(1+Inflation_rate)^K$2</f>
        <v>0</v>
      </c>
      <c r="L32" s="125">
        <f>'Financial Inputs'!M23*(1+Inflation_rate)^L$2</f>
        <v>0</v>
      </c>
      <c r="M32" s="125">
        <f>'Financial Inputs'!N23*(1+Inflation_rate)^M$2</f>
        <v>0</v>
      </c>
      <c r="N32" s="125">
        <f>'Financial Inputs'!O23*(1+Inflation_rate)^N$2</f>
        <v>0</v>
      </c>
      <c r="O32" s="125">
        <f>'Financial Inputs'!P23*(1+Inflation_rate)^O$2</f>
        <v>0</v>
      </c>
      <c r="P32" s="125">
        <f>'Financial Inputs'!Q23*(1+Inflation_rate)^P$2</f>
        <v>0</v>
      </c>
      <c r="Q32" s="125">
        <f>'Financial Inputs'!R23*(1+Inflation_rate)^Q$2</f>
        <v>0</v>
      </c>
      <c r="R32" s="125">
        <f>'Financial Inputs'!S23*(1+Inflation_rate)^R$2</f>
        <v>0</v>
      </c>
      <c r="S32" s="125">
        <f>'Financial Inputs'!T23*(1+Inflation_rate)^S$2</f>
        <v>0</v>
      </c>
      <c r="T32" s="125">
        <f>'Financial Inputs'!U23*(1+Inflation_rate)^T$2</f>
        <v>0</v>
      </c>
    </row>
    <row r="33" spans="2:20" s="126" customFormat="1" ht="12" x14ac:dyDescent="0.2">
      <c r="B33" s="124" t="str">
        <f>'Financial Inputs'!B24</f>
        <v>[other - enter details]</v>
      </c>
      <c r="C33" s="143"/>
      <c r="D33" s="143"/>
      <c r="E33" s="143"/>
      <c r="F33" s="125">
        <f>'Financial Inputs'!G24*(1+Inflation_rate)^F$2</f>
        <v>0</v>
      </c>
      <c r="G33" s="125">
        <f>'Financial Inputs'!H24*(1+Inflation_rate)^G$2</f>
        <v>0</v>
      </c>
      <c r="H33" s="125">
        <f>'Financial Inputs'!I24*(1+Inflation_rate)^H$2</f>
        <v>0</v>
      </c>
      <c r="I33" s="125">
        <f>'Financial Inputs'!J24*(1+Inflation_rate)^I$2</f>
        <v>0</v>
      </c>
      <c r="J33" s="125">
        <f>'Financial Inputs'!K24*(1+Inflation_rate)^J$2</f>
        <v>0</v>
      </c>
      <c r="K33" s="125">
        <f>'Financial Inputs'!L24*(1+Inflation_rate)^K$2</f>
        <v>0</v>
      </c>
      <c r="L33" s="125">
        <f>'Financial Inputs'!M24*(1+Inflation_rate)^L$2</f>
        <v>0</v>
      </c>
      <c r="M33" s="125">
        <f>'Financial Inputs'!N24*(1+Inflation_rate)^M$2</f>
        <v>0</v>
      </c>
      <c r="N33" s="125">
        <f>'Financial Inputs'!O24*(1+Inflation_rate)^N$2</f>
        <v>0</v>
      </c>
      <c r="O33" s="125">
        <f>'Financial Inputs'!P24*(1+Inflation_rate)^O$2</f>
        <v>0</v>
      </c>
      <c r="P33" s="125">
        <f>'Financial Inputs'!Q24*(1+Inflation_rate)^P$2</f>
        <v>0</v>
      </c>
      <c r="Q33" s="125">
        <f>'Financial Inputs'!R24*(1+Inflation_rate)^Q$2</f>
        <v>0</v>
      </c>
      <c r="R33" s="125">
        <f>'Financial Inputs'!S24*(1+Inflation_rate)^R$2</f>
        <v>0</v>
      </c>
      <c r="S33" s="125">
        <f>'Financial Inputs'!T24*(1+Inflation_rate)^S$2</f>
        <v>0</v>
      </c>
      <c r="T33" s="125">
        <f>'Financial Inputs'!U24*(1+Inflation_rate)^T$2</f>
        <v>0</v>
      </c>
    </row>
    <row r="34" spans="2:20" s="126" customFormat="1" ht="12" x14ac:dyDescent="0.2">
      <c r="B34" s="124" t="str">
        <f>'Financial Inputs'!B25</f>
        <v>[other - enter details]</v>
      </c>
      <c r="C34" s="143"/>
      <c r="D34" s="143"/>
      <c r="E34" s="143"/>
      <c r="F34" s="125">
        <f>'Financial Inputs'!G25*(1+Inflation_rate)^F$2</f>
        <v>0</v>
      </c>
      <c r="G34" s="125">
        <f>'Financial Inputs'!H25*(1+Inflation_rate)^G$2</f>
        <v>0</v>
      </c>
      <c r="H34" s="125">
        <f>'Financial Inputs'!I25*(1+Inflation_rate)^H$2</f>
        <v>0</v>
      </c>
      <c r="I34" s="125">
        <f>'Financial Inputs'!J25*(1+Inflation_rate)^I$2</f>
        <v>0</v>
      </c>
      <c r="J34" s="125">
        <f>'Financial Inputs'!K25*(1+Inflation_rate)^J$2</f>
        <v>0</v>
      </c>
      <c r="K34" s="125">
        <f>'Financial Inputs'!L25*(1+Inflation_rate)^K$2</f>
        <v>0</v>
      </c>
      <c r="L34" s="125">
        <f>'Financial Inputs'!M25*(1+Inflation_rate)^L$2</f>
        <v>0</v>
      </c>
      <c r="M34" s="125">
        <f>'Financial Inputs'!N25*(1+Inflation_rate)^M$2</f>
        <v>0</v>
      </c>
      <c r="N34" s="125">
        <f>'Financial Inputs'!O25*(1+Inflation_rate)^N$2</f>
        <v>0</v>
      </c>
      <c r="O34" s="125">
        <f>'Financial Inputs'!P25*(1+Inflation_rate)^O$2</f>
        <v>0</v>
      </c>
      <c r="P34" s="125">
        <f>'Financial Inputs'!Q25*(1+Inflation_rate)^P$2</f>
        <v>0</v>
      </c>
      <c r="Q34" s="125">
        <f>'Financial Inputs'!R25*(1+Inflation_rate)^Q$2</f>
        <v>0</v>
      </c>
      <c r="R34" s="125">
        <f>'Financial Inputs'!S25*(1+Inflation_rate)^R$2</f>
        <v>0</v>
      </c>
      <c r="S34" s="125">
        <f>'Financial Inputs'!T25*(1+Inflation_rate)^S$2</f>
        <v>0</v>
      </c>
      <c r="T34" s="125">
        <f>'Financial Inputs'!U25*(1+Inflation_rate)^T$2</f>
        <v>0</v>
      </c>
    </row>
    <row r="35" spans="2:20" s="104" customFormat="1" ht="12" x14ac:dyDescent="0.2">
      <c r="B35" s="109" t="s">
        <v>152</v>
      </c>
      <c r="C35" s="110">
        <v>0</v>
      </c>
      <c r="D35" s="110">
        <v>0</v>
      </c>
      <c r="E35" s="110">
        <v>0</v>
      </c>
      <c r="F35" s="110">
        <f>SUM(F24:F34)</f>
        <v>0</v>
      </c>
      <c r="G35" s="110">
        <f t="shared" ref="G35:T35" si="45">SUM(G24:G34)</f>
        <v>0</v>
      </c>
      <c r="H35" s="110">
        <f t="shared" si="45"/>
        <v>0</v>
      </c>
      <c r="I35" s="110">
        <f t="shared" si="45"/>
        <v>0</v>
      </c>
      <c r="J35" s="110">
        <f t="shared" si="45"/>
        <v>0</v>
      </c>
      <c r="K35" s="110">
        <f t="shared" si="45"/>
        <v>0</v>
      </c>
      <c r="L35" s="110">
        <f t="shared" si="45"/>
        <v>0</v>
      </c>
      <c r="M35" s="110">
        <f t="shared" si="45"/>
        <v>0</v>
      </c>
      <c r="N35" s="110">
        <f t="shared" si="45"/>
        <v>0</v>
      </c>
      <c r="O35" s="110">
        <f t="shared" si="45"/>
        <v>0</v>
      </c>
      <c r="P35" s="110">
        <f t="shared" si="45"/>
        <v>0</v>
      </c>
      <c r="Q35" s="110">
        <f t="shared" si="45"/>
        <v>0</v>
      </c>
      <c r="R35" s="110">
        <f t="shared" si="45"/>
        <v>0</v>
      </c>
      <c r="S35" s="110">
        <f t="shared" si="45"/>
        <v>0</v>
      </c>
      <c r="T35" s="110">
        <f t="shared" si="45"/>
        <v>0</v>
      </c>
    </row>
    <row r="36" spans="2:20" s="104" customFormat="1" ht="12" x14ac:dyDescent="0.2"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</row>
    <row r="37" spans="2:20" s="104" customFormat="1" ht="12" x14ac:dyDescent="0.2">
      <c r="B37" s="81" t="s">
        <v>120</v>
      </c>
      <c r="C37" s="82" t="str">
        <f t="shared" ref="C37:T37" si="46">C3</f>
        <v/>
      </c>
      <c r="D37" s="82" t="str">
        <f t="shared" si="46"/>
        <v/>
      </c>
      <c r="E37" s="82" t="str">
        <f t="shared" si="46"/>
        <v/>
      </c>
      <c r="F37" s="82">
        <f t="shared" si="46"/>
        <v>1900</v>
      </c>
      <c r="G37" s="82">
        <f t="shared" si="46"/>
        <v>1901</v>
      </c>
      <c r="H37" s="82">
        <f t="shared" si="46"/>
        <v>1902</v>
      </c>
      <c r="I37" s="82">
        <f t="shared" si="46"/>
        <v>1903</v>
      </c>
      <c r="J37" s="82">
        <f t="shared" si="46"/>
        <v>1904</v>
      </c>
      <c r="K37" s="82">
        <f t="shared" si="46"/>
        <v>1905</v>
      </c>
      <c r="L37" s="82">
        <f t="shared" si="46"/>
        <v>1906</v>
      </c>
      <c r="M37" s="82">
        <f t="shared" si="46"/>
        <v>1907</v>
      </c>
      <c r="N37" s="82">
        <f t="shared" si="46"/>
        <v>1908</v>
      </c>
      <c r="O37" s="82">
        <f t="shared" si="46"/>
        <v>1909</v>
      </c>
      <c r="P37" s="82">
        <f t="shared" si="46"/>
        <v>1910</v>
      </c>
      <c r="Q37" s="82">
        <f t="shared" si="46"/>
        <v>1911</v>
      </c>
      <c r="R37" s="82">
        <f t="shared" si="46"/>
        <v>1912</v>
      </c>
      <c r="S37" s="82">
        <f t="shared" si="46"/>
        <v>1913</v>
      </c>
      <c r="T37" s="82">
        <f t="shared" si="46"/>
        <v>1914</v>
      </c>
    </row>
    <row r="38" spans="2:20" s="126" customFormat="1" ht="12" x14ac:dyDescent="0.2">
      <c r="B38" s="124" t="str">
        <f>'Financial Inputs'!B30</f>
        <v>Gate fees</v>
      </c>
      <c r="C38" s="143"/>
      <c r="D38" s="143"/>
      <c r="E38" s="143"/>
      <c r="F38" s="125">
        <f>'Financial Inputs'!G30*(1+Inflation_rate)^F$2</f>
        <v>0</v>
      </c>
      <c r="G38" s="125">
        <f>'Financial Inputs'!H30*(1+Inflation_rate)^G$2</f>
        <v>0</v>
      </c>
      <c r="H38" s="125">
        <f>'Financial Inputs'!I30*(1+Inflation_rate)^H$2</f>
        <v>0</v>
      </c>
      <c r="I38" s="125">
        <f>'Financial Inputs'!J30*(1+Inflation_rate)^I$2</f>
        <v>0</v>
      </c>
      <c r="J38" s="125">
        <f>'Financial Inputs'!K30*(1+Inflation_rate)^J$2</f>
        <v>0</v>
      </c>
      <c r="K38" s="125">
        <f>'Financial Inputs'!L30*(1+Inflation_rate)^K$2</f>
        <v>0</v>
      </c>
      <c r="L38" s="125">
        <f>'Financial Inputs'!M30*(1+Inflation_rate)^L$2</f>
        <v>0</v>
      </c>
      <c r="M38" s="125">
        <f>'Financial Inputs'!N30*(1+Inflation_rate)^M$2</f>
        <v>0</v>
      </c>
      <c r="N38" s="125">
        <f>'Financial Inputs'!O30*(1+Inflation_rate)^N$2</f>
        <v>0</v>
      </c>
      <c r="O38" s="125">
        <f>'Financial Inputs'!P30*(1+Inflation_rate)^O$2</f>
        <v>0</v>
      </c>
      <c r="P38" s="125">
        <f>'Financial Inputs'!Q30*(1+Inflation_rate)^P$2</f>
        <v>0</v>
      </c>
      <c r="Q38" s="125">
        <f>'Financial Inputs'!R30*(1+Inflation_rate)^Q$2</f>
        <v>0</v>
      </c>
      <c r="R38" s="125">
        <f>'Financial Inputs'!S30*(1+Inflation_rate)^R$2</f>
        <v>0</v>
      </c>
      <c r="S38" s="125">
        <f>'Financial Inputs'!T30*(1+Inflation_rate)^S$2</f>
        <v>0</v>
      </c>
      <c r="T38" s="125">
        <f>'Financial Inputs'!U30*(1+Inflation_rate)^T$2</f>
        <v>0</v>
      </c>
    </row>
    <row r="39" spans="2:20" s="126" customFormat="1" ht="12" x14ac:dyDescent="0.2">
      <c r="B39" s="124" t="str">
        <f>'Financial Inputs'!B31</f>
        <v>Product sales</v>
      </c>
      <c r="C39" s="143"/>
      <c r="D39" s="143"/>
      <c r="E39" s="143"/>
      <c r="F39" s="125">
        <f>'Financial Inputs'!G31*(1+Inflation_rate)^F$2</f>
        <v>0</v>
      </c>
      <c r="G39" s="125">
        <f>'Financial Inputs'!H31*(1+Inflation_rate)^G$2</f>
        <v>0</v>
      </c>
      <c r="H39" s="125">
        <f>'Financial Inputs'!I31*(1+Inflation_rate)^H$2</f>
        <v>0</v>
      </c>
      <c r="I39" s="125">
        <f>'Financial Inputs'!J31*(1+Inflation_rate)^I$2</f>
        <v>0</v>
      </c>
      <c r="J39" s="125">
        <f>'Financial Inputs'!K31*(1+Inflation_rate)^J$2</f>
        <v>0</v>
      </c>
      <c r="K39" s="125">
        <f>'Financial Inputs'!L31*(1+Inflation_rate)^K$2</f>
        <v>0</v>
      </c>
      <c r="L39" s="125">
        <f>'Financial Inputs'!M31*(1+Inflation_rate)^L$2</f>
        <v>0</v>
      </c>
      <c r="M39" s="125">
        <f>'Financial Inputs'!N31*(1+Inflation_rate)^M$2</f>
        <v>0</v>
      </c>
      <c r="N39" s="125">
        <f>'Financial Inputs'!O31*(1+Inflation_rate)^N$2</f>
        <v>0</v>
      </c>
      <c r="O39" s="125">
        <f>'Financial Inputs'!P31*(1+Inflation_rate)^O$2</f>
        <v>0</v>
      </c>
      <c r="P39" s="125">
        <f>'Financial Inputs'!Q31*(1+Inflation_rate)^P$2</f>
        <v>0</v>
      </c>
      <c r="Q39" s="125">
        <f>'Financial Inputs'!R31*(1+Inflation_rate)^Q$2</f>
        <v>0</v>
      </c>
      <c r="R39" s="125">
        <f>'Financial Inputs'!S31*(1+Inflation_rate)^R$2</f>
        <v>0</v>
      </c>
      <c r="S39" s="125">
        <f>'Financial Inputs'!T31*(1+Inflation_rate)^S$2</f>
        <v>0</v>
      </c>
      <c r="T39" s="125">
        <f>'Financial Inputs'!U31*(1+Inflation_rate)^T$2</f>
        <v>0</v>
      </c>
    </row>
    <row r="40" spans="2:20" s="126" customFormat="1" ht="12" x14ac:dyDescent="0.2">
      <c r="B40" s="124" t="str">
        <f>'Financial Inputs'!B32</f>
        <v>Avoided landfill disposal / levy costs</v>
      </c>
      <c r="C40" s="143"/>
      <c r="D40" s="143"/>
      <c r="E40" s="143"/>
      <c r="F40" s="125">
        <f>'Financial Inputs'!G32*(1+Inflation_rate)^F$2</f>
        <v>0</v>
      </c>
      <c r="G40" s="125">
        <f>'Financial Inputs'!H32*(1+Inflation_rate)^G$2</f>
        <v>0</v>
      </c>
      <c r="H40" s="125">
        <f>'Financial Inputs'!I32*(1+Inflation_rate)^H$2</f>
        <v>0</v>
      </c>
      <c r="I40" s="125">
        <f>'Financial Inputs'!J32*(1+Inflation_rate)^I$2</f>
        <v>0</v>
      </c>
      <c r="J40" s="125">
        <f>'Financial Inputs'!K32*(1+Inflation_rate)^J$2</f>
        <v>0</v>
      </c>
      <c r="K40" s="125">
        <f>'Financial Inputs'!L32*(1+Inflation_rate)^K$2</f>
        <v>0</v>
      </c>
      <c r="L40" s="125">
        <f>'Financial Inputs'!M32*(1+Inflation_rate)^L$2</f>
        <v>0</v>
      </c>
      <c r="M40" s="125">
        <f>'Financial Inputs'!N32*(1+Inflation_rate)^M$2</f>
        <v>0</v>
      </c>
      <c r="N40" s="125">
        <f>'Financial Inputs'!O32*(1+Inflation_rate)^N$2</f>
        <v>0</v>
      </c>
      <c r="O40" s="125">
        <f>'Financial Inputs'!P32*(1+Inflation_rate)^O$2</f>
        <v>0</v>
      </c>
      <c r="P40" s="125">
        <f>'Financial Inputs'!Q32*(1+Inflation_rate)^P$2</f>
        <v>0</v>
      </c>
      <c r="Q40" s="125">
        <f>'Financial Inputs'!R32*(1+Inflation_rate)^Q$2</f>
        <v>0</v>
      </c>
      <c r="R40" s="125">
        <f>'Financial Inputs'!S32*(1+Inflation_rate)^R$2</f>
        <v>0</v>
      </c>
      <c r="S40" s="125">
        <f>'Financial Inputs'!T32*(1+Inflation_rate)^S$2</f>
        <v>0</v>
      </c>
      <c r="T40" s="125">
        <f>'Financial Inputs'!U32*(1+Inflation_rate)^T$2</f>
        <v>0</v>
      </c>
    </row>
    <row r="41" spans="2:20" s="126" customFormat="1" ht="12" x14ac:dyDescent="0.2">
      <c r="B41" s="124" t="str">
        <f>'Financial Inputs'!B33</f>
        <v>[other - enter details]</v>
      </c>
      <c r="C41" s="143"/>
      <c r="D41" s="143"/>
      <c r="E41" s="143"/>
      <c r="F41" s="125">
        <f>'Financial Inputs'!G33*(1+Inflation_rate)^F$2</f>
        <v>0</v>
      </c>
      <c r="G41" s="125">
        <f>'Financial Inputs'!H33*(1+Inflation_rate)^G$2</f>
        <v>0</v>
      </c>
      <c r="H41" s="125">
        <f>'Financial Inputs'!I33*(1+Inflation_rate)^H$2</f>
        <v>0</v>
      </c>
      <c r="I41" s="125">
        <f>'Financial Inputs'!J33*(1+Inflation_rate)^I$2</f>
        <v>0</v>
      </c>
      <c r="J41" s="125">
        <f>'Financial Inputs'!K33*(1+Inflation_rate)^J$2</f>
        <v>0</v>
      </c>
      <c r="K41" s="125">
        <f>'Financial Inputs'!L33*(1+Inflation_rate)^K$2</f>
        <v>0</v>
      </c>
      <c r="L41" s="125">
        <f>'Financial Inputs'!M33*(1+Inflation_rate)^L$2</f>
        <v>0</v>
      </c>
      <c r="M41" s="125">
        <f>'Financial Inputs'!N33*(1+Inflation_rate)^M$2</f>
        <v>0</v>
      </c>
      <c r="N41" s="125">
        <f>'Financial Inputs'!O33*(1+Inflation_rate)^N$2</f>
        <v>0</v>
      </c>
      <c r="O41" s="125">
        <f>'Financial Inputs'!P33*(1+Inflation_rate)^O$2</f>
        <v>0</v>
      </c>
      <c r="P41" s="125">
        <f>'Financial Inputs'!Q33*(1+Inflation_rate)^P$2</f>
        <v>0</v>
      </c>
      <c r="Q41" s="125">
        <f>'Financial Inputs'!R33*(1+Inflation_rate)^Q$2</f>
        <v>0</v>
      </c>
      <c r="R41" s="125">
        <f>'Financial Inputs'!S33*(1+Inflation_rate)^R$2</f>
        <v>0</v>
      </c>
      <c r="S41" s="125">
        <f>'Financial Inputs'!T33*(1+Inflation_rate)^S$2</f>
        <v>0</v>
      </c>
      <c r="T41" s="125">
        <f>'Financial Inputs'!U33*(1+Inflation_rate)^T$2</f>
        <v>0</v>
      </c>
    </row>
    <row r="42" spans="2:20" s="126" customFormat="1" ht="12" x14ac:dyDescent="0.2">
      <c r="B42" s="124" t="str">
        <f>'Financial Inputs'!B34</f>
        <v>[other - enter details]</v>
      </c>
      <c r="C42" s="143"/>
      <c r="D42" s="143"/>
      <c r="E42" s="143"/>
      <c r="F42" s="125">
        <f>'Financial Inputs'!G34*(1+Inflation_rate)^F$2</f>
        <v>0</v>
      </c>
      <c r="G42" s="125">
        <f>'Financial Inputs'!H34*(1+Inflation_rate)^G$2</f>
        <v>0</v>
      </c>
      <c r="H42" s="125">
        <f>'Financial Inputs'!I34*(1+Inflation_rate)^H$2</f>
        <v>0</v>
      </c>
      <c r="I42" s="125">
        <f>'Financial Inputs'!J34*(1+Inflation_rate)^I$2</f>
        <v>0</v>
      </c>
      <c r="J42" s="125">
        <f>'Financial Inputs'!K34*(1+Inflation_rate)^J$2</f>
        <v>0</v>
      </c>
      <c r="K42" s="125">
        <f>'Financial Inputs'!L34*(1+Inflation_rate)^K$2</f>
        <v>0</v>
      </c>
      <c r="L42" s="125">
        <f>'Financial Inputs'!M34*(1+Inflation_rate)^L$2</f>
        <v>0</v>
      </c>
      <c r="M42" s="125">
        <f>'Financial Inputs'!N34*(1+Inflation_rate)^M$2</f>
        <v>0</v>
      </c>
      <c r="N42" s="125">
        <f>'Financial Inputs'!O34*(1+Inflation_rate)^N$2</f>
        <v>0</v>
      </c>
      <c r="O42" s="125">
        <f>'Financial Inputs'!P34*(1+Inflation_rate)^O$2</f>
        <v>0</v>
      </c>
      <c r="P42" s="125">
        <f>'Financial Inputs'!Q34*(1+Inflation_rate)^P$2</f>
        <v>0</v>
      </c>
      <c r="Q42" s="125">
        <f>'Financial Inputs'!R34*(1+Inflation_rate)^Q$2</f>
        <v>0</v>
      </c>
      <c r="R42" s="125">
        <f>'Financial Inputs'!S34*(1+Inflation_rate)^R$2</f>
        <v>0</v>
      </c>
      <c r="S42" s="125">
        <f>'Financial Inputs'!T34*(1+Inflation_rate)^S$2</f>
        <v>0</v>
      </c>
      <c r="T42" s="125">
        <f>'Financial Inputs'!U34*(1+Inflation_rate)^T$2</f>
        <v>0</v>
      </c>
    </row>
    <row r="43" spans="2:20" s="126" customFormat="1" ht="12" x14ac:dyDescent="0.2">
      <c r="B43" s="124" t="str">
        <f>'Financial Inputs'!B35</f>
        <v>[other - enter details]</v>
      </c>
      <c r="C43" s="143"/>
      <c r="D43" s="143"/>
      <c r="E43" s="143"/>
      <c r="F43" s="125">
        <f>'Financial Inputs'!G35*(1+Inflation_rate)^F$2</f>
        <v>0</v>
      </c>
      <c r="G43" s="125">
        <f>'Financial Inputs'!H35*(1+Inflation_rate)^G$2</f>
        <v>0</v>
      </c>
      <c r="H43" s="125">
        <f>'Financial Inputs'!I35*(1+Inflation_rate)^H$2</f>
        <v>0</v>
      </c>
      <c r="I43" s="125">
        <f>'Financial Inputs'!J35*(1+Inflation_rate)^I$2</f>
        <v>0</v>
      </c>
      <c r="J43" s="125">
        <f>'Financial Inputs'!K35*(1+Inflation_rate)^J$2</f>
        <v>0</v>
      </c>
      <c r="K43" s="125">
        <f>'Financial Inputs'!L35*(1+Inflation_rate)^K$2</f>
        <v>0</v>
      </c>
      <c r="L43" s="125">
        <f>'Financial Inputs'!M35*(1+Inflation_rate)^L$2</f>
        <v>0</v>
      </c>
      <c r="M43" s="125">
        <f>'Financial Inputs'!N35*(1+Inflation_rate)^M$2</f>
        <v>0</v>
      </c>
      <c r="N43" s="125">
        <f>'Financial Inputs'!O35*(1+Inflation_rate)^N$2</f>
        <v>0</v>
      </c>
      <c r="O43" s="125">
        <f>'Financial Inputs'!P35*(1+Inflation_rate)^O$2</f>
        <v>0</v>
      </c>
      <c r="P43" s="125">
        <f>'Financial Inputs'!Q35*(1+Inflation_rate)^P$2</f>
        <v>0</v>
      </c>
      <c r="Q43" s="125">
        <f>'Financial Inputs'!R35*(1+Inflation_rate)^Q$2</f>
        <v>0</v>
      </c>
      <c r="R43" s="125">
        <f>'Financial Inputs'!S35*(1+Inflation_rate)^R$2</f>
        <v>0</v>
      </c>
      <c r="S43" s="125">
        <f>'Financial Inputs'!T35*(1+Inflation_rate)^S$2</f>
        <v>0</v>
      </c>
      <c r="T43" s="125">
        <f>'Financial Inputs'!U35*(1+Inflation_rate)^T$2</f>
        <v>0</v>
      </c>
    </row>
    <row r="44" spans="2:20" s="126" customFormat="1" ht="12" x14ac:dyDescent="0.2">
      <c r="B44" s="124" t="str">
        <f>'Financial Inputs'!B36</f>
        <v>[other - enter details]</v>
      </c>
      <c r="C44" s="143"/>
      <c r="D44" s="143"/>
      <c r="E44" s="143"/>
      <c r="F44" s="125">
        <f>'Financial Inputs'!G36*(1+Inflation_rate)^F$2</f>
        <v>0</v>
      </c>
      <c r="G44" s="125">
        <f>'Financial Inputs'!H36*(1+Inflation_rate)^G$2</f>
        <v>0</v>
      </c>
      <c r="H44" s="125">
        <f>'Financial Inputs'!I36*(1+Inflation_rate)^H$2</f>
        <v>0</v>
      </c>
      <c r="I44" s="125">
        <f>'Financial Inputs'!J36*(1+Inflation_rate)^I$2</f>
        <v>0</v>
      </c>
      <c r="J44" s="125">
        <f>'Financial Inputs'!K36*(1+Inflation_rate)^J$2</f>
        <v>0</v>
      </c>
      <c r="K44" s="125">
        <f>'Financial Inputs'!L36*(1+Inflation_rate)^K$2</f>
        <v>0</v>
      </c>
      <c r="L44" s="125">
        <f>'Financial Inputs'!M36*(1+Inflation_rate)^L$2</f>
        <v>0</v>
      </c>
      <c r="M44" s="125">
        <f>'Financial Inputs'!N36*(1+Inflation_rate)^M$2</f>
        <v>0</v>
      </c>
      <c r="N44" s="125">
        <f>'Financial Inputs'!O36*(1+Inflation_rate)^N$2</f>
        <v>0</v>
      </c>
      <c r="O44" s="125">
        <f>'Financial Inputs'!P36*(1+Inflation_rate)^O$2</f>
        <v>0</v>
      </c>
      <c r="P44" s="125">
        <f>'Financial Inputs'!Q36*(1+Inflation_rate)^P$2</f>
        <v>0</v>
      </c>
      <c r="Q44" s="125">
        <f>'Financial Inputs'!R36*(1+Inflation_rate)^Q$2</f>
        <v>0</v>
      </c>
      <c r="R44" s="125">
        <f>'Financial Inputs'!S36*(1+Inflation_rate)^R$2</f>
        <v>0</v>
      </c>
      <c r="S44" s="125">
        <f>'Financial Inputs'!T36*(1+Inflation_rate)^S$2</f>
        <v>0</v>
      </c>
      <c r="T44" s="125">
        <f>'Financial Inputs'!U36*(1+Inflation_rate)^T$2</f>
        <v>0</v>
      </c>
    </row>
    <row r="45" spans="2:20" s="126" customFormat="1" ht="12" x14ac:dyDescent="0.2">
      <c r="B45" s="124" t="str">
        <f>'Financial Inputs'!B37</f>
        <v>[other - enter details]</v>
      </c>
      <c r="C45" s="143"/>
      <c r="D45" s="143"/>
      <c r="E45" s="143"/>
      <c r="F45" s="125">
        <f>'Financial Inputs'!G37*(1+Inflation_rate)^F$2</f>
        <v>0</v>
      </c>
      <c r="G45" s="125">
        <f>'Financial Inputs'!H37*(1+Inflation_rate)^G$2</f>
        <v>0</v>
      </c>
      <c r="H45" s="125">
        <f>'Financial Inputs'!I37*(1+Inflation_rate)^H$2</f>
        <v>0</v>
      </c>
      <c r="I45" s="125">
        <f>'Financial Inputs'!J37*(1+Inflation_rate)^I$2</f>
        <v>0</v>
      </c>
      <c r="J45" s="125">
        <f>'Financial Inputs'!K37*(1+Inflation_rate)^J$2</f>
        <v>0</v>
      </c>
      <c r="K45" s="125">
        <f>'Financial Inputs'!L37*(1+Inflation_rate)^K$2</f>
        <v>0</v>
      </c>
      <c r="L45" s="125">
        <f>'Financial Inputs'!M37*(1+Inflation_rate)^L$2</f>
        <v>0</v>
      </c>
      <c r="M45" s="125">
        <f>'Financial Inputs'!N37*(1+Inflation_rate)^M$2</f>
        <v>0</v>
      </c>
      <c r="N45" s="125">
        <f>'Financial Inputs'!O37*(1+Inflation_rate)^N$2</f>
        <v>0</v>
      </c>
      <c r="O45" s="125">
        <f>'Financial Inputs'!P37*(1+Inflation_rate)^O$2</f>
        <v>0</v>
      </c>
      <c r="P45" s="125">
        <f>'Financial Inputs'!Q37*(1+Inflation_rate)^P$2</f>
        <v>0</v>
      </c>
      <c r="Q45" s="125">
        <f>'Financial Inputs'!R37*(1+Inflation_rate)^Q$2</f>
        <v>0</v>
      </c>
      <c r="R45" s="125">
        <f>'Financial Inputs'!S37*(1+Inflation_rate)^R$2</f>
        <v>0</v>
      </c>
      <c r="S45" s="125">
        <f>'Financial Inputs'!T37*(1+Inflation_rate)^S$2</f>
        <v>0</v>
      </c>
      <c r="T45" s="125">
        <f>'Financial Inputs'!U37*(1+Inflation_rate)^T$2</f>
        <v>0</v>
      </c>
    </row>
    <row r="46" spans="2:20" s="104" customFormat="1" ht="12" x14ac:dyDescent="0.2">
      <c r="B46" s="109" t="s">
        <v>6</v>
      </c>
      <c r="C46" s="144">
        <v>0</v>
      </c>
      <c r="D46" s="144">
        <v>0</v>
      </c>
      <c r="E46" s="144">
        <v>0</v>
      </c>
      <c r="F46" s="110">
        <f t="shared" ref="F46:L46" si="47">SUM(F38:F45)</f>
        <v>0</v>
      </c>
      <c r="G46" s="110">
        <f t="shared" si="47"/>
        <v>0</v>
      </c>
      <c r="H46" s="110">
        <f t="shared" si="47"/>
        <v>0</v>
      </c>
      <c r="I46" s="110">
        <f t="shared" si="47"/>
        <v>0</v>
      </c>
      <c r="J46" s="110">
        <f t="shared" si="47"/>
        <v>0</v>
      </c>
      <c r="K46" s="110">
        <f t="shared" si="47"/>
        <v>0</v>
      </c>
      <c r="L46" s="110">
        <f t="shared" si="47"/>
        <v>0</v>
      </c>
      <c r="M46" s="110">
        <f t="shared" ref="M46" si="48">SUM(M38:M45)</f>
        <v>0</v>
      </c>
      <c r="N46" s="110">
        <f t="shared" ref="N46" si="49">SUM(N38:N45)</f>
        <v>0</v>
      </c>
      <c r="O46" s="110">
        <f t="shared" ref="O46" si="50">SUM(O38:O45)</f>
        <v>0</v>
      </c>
      <c r="P46" s="110">
        <f t="shared" ref="P46" si="51">SUM(P38:P45)</f>
        <v>0</v>
      </c>
      <c r="Q46" s="110">
        <f t="shared" ref="Q46" si="52">SUM(Q38:Q45)</f>
        <v>0</v>
      </c>
      <c r="R46" s="110">
        <f t="shared" ref="R46" si="53">SUM(R38:R45)</f>
        <v>0</v>
      </c>
      <c r="S46" s="110">
        <f t="shared" ref="S46" si="54">SUM(S38:S45)</f>
        <v>0</v>
      </c>
      <c r="T46" s="110">
        <f t="shared" ref="T46" si="55">SUM(T38:T45)</f>
        <v>0</v>
      </c>
    </row>
    <row r="47" spans="2:20" s="104" customFormat="1" ht="12" x14ac:dyDescent="0.2"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</row>
    <row r="48" spans="2:20" s="104" customFormat="1" ht="12" x14ac:dyDescent="0.2">
      <c r="B48" s="81" t="s">
        <v>183</v>
      </c>
      <c r="C48" s="82" t="str">
        <f t="shared" ref="C48:T48" si="56">C3</f>
        <v/>
      </c>
      <c r="D48" s="82" t="str">
        <f t="shared" si="56"/>
        <v/>
      </c>
      <c r="E48" s="82" t="str">
        <f t="shared" si="56"/>
        <v/>
      </c>
      <c r="F48" s="82">
        <f t="shared" si="56"/>
        <v>1900</v>
      </c>
      <c r="G48" s="82">
        <f t="shared" si="56"/>
        <v>1901</v>
      </c>
      <c r="H48" s="82">
        <f t="shared" si="56"/>
        <v>1902</v>
      </c>
      <c r="I48" s="82">
        <f t="shared" si="56"/>
        <v>1903</v>
      </c>
      <c r="J48" s="82">
        <f t="shared" si="56"/>
        <v>1904</v>
      </c>
      <c r="K48" s="82">
        <f t="shared" si="56"/>
        <v>1905</v>
      </c>
      <c r="L48" s="82">
        <f t="shared" si="56"/>
        <v>1906</v>
      </c>
      <c r="M48" s="82">
        <f t="shared" si="56"/>
        <v>1907</v>
      </c>
      <c r="N48" s="82">
        <f t="shared" si="56"/>
        <v>1908</v>
      </c>
      <c r="O48" s="82">
        <f t="shared" si="56"/>
        <v>1909</v>
      </c>
      <c r="P48" s="82">
        <f t="shared" si="56"/>
        <v>1910</v>
      </c>
      <c r="Q48" s="82">
        <f t="shared" si="56"/>
        <v>1911</v>
      </c>
      <c r="R48" s="82">
        <f t="shared" si="56"/>
        <v>1912</v>
      </c>
      <c r="S48" s="82">
        <f t="shared" si="56"/>
        <v>1913</v>
      </c>
      <c r="T48" s="82">
        <f t="shared" si="56"/>
        <v>1914</v>
      </c>
    </row>
    <row r="49" spans="2:20" s="104" customFormat="1" ht="12" x14ac:dyDescent="0.2">
      <c r="B49" s="111" t="s">
        <v>17</v>
      </c>
      <c r="C49" s="141">
        <v>0</v>
      </c>
      <c r="D49" s="141">
        <v>0</v>
      </c>
      <c r="E49" s="141">
        <v>0</v>
      </c>
      <c r="F49" s="112" t="e">
        <f t="shared" ref="F49:T49" si="57">F13</f>
        <v>#DIV/0!</v>
      </c>
      <c r="G49" s="112" t="e">
        <f t="shared" si="57"/>
        <v>#DIV/0!</v>
      </c>
      <c r="H49" s="112" t="e">
        <f t="shared" si="57"/>
        <v>#DIV/0!</v>
      </c>
      <c r="I49" s="112" t="e">
        <f t="shared" si="57"/>
        <v>#DIV/0!</v>
      </c>
      <c r="J49" s="112" t="e">
        <f t="shared" si="57"/>
        <v>#DIV/0!</v>
      </c>
      <c r="K49" s="112" t="e">
        <f t="shared" si="57"/>
        <v>#DIV/0!</v>
      </c>
      <c r="L49" s="112" t="e">
        <f t="shared" si="57"/>
        <v>#DIV/0!</v>
      </c>
      <c r="M49" s="112" t="e">
        <f t="shared" si="57"/>
        <v>#DIV/0!</v>
      </c>
      <c r="N49" s="112" t="e">
        <f t="shared" si="57"/>
        <v>#DIV/0!</v>
      </c>
      <c r="O49" s="112" t="e">
        <f t="shared" si="57"/>
        <v>#DIV/0!</v>
      </c>
      <c r="P49" s="112" t="e">
        <f t="shared" si="57"/>
        <v>#DIV/0!</v>
      </c>
      <c r="Q49" s="112" t="e">
        <f t="shared" si="57"/>
        <v>#DIV/0!</v>
      </c>
      <c r="R49" s="112" t="e">
        <f t="shared" si="57"/>
        <v>#DIV/0!</v>
      </c>
      <c r="S49" s="112" t="e">
        <f t="shared" si="57"/>
        <v>#DIV/0!</v>
      </c>
      <c r="T49" s="112" t="e">
        <f t="shared" si="57"/>
        <v>#DIV/0!</v>
      </c>
    </row>
    <row r="50" spans="2:20" s="104" customFormat="1" ht="12" x14ac:dyDescent="0.2">
      <c r="B50" s="111" t="s">
        <v>123</v>
      </c>
      <c r="C50" s="141">
        <v>0</v>
      </c>
      <c r="D50" s="141">
        <v>0</v>
      </c>
      <c r="E50" s="141">
        <v>0</v>
      </c>
      <c r="F50" s="112">
        <f t="shared" ref="F50:T50" si="58">F$11*discountrate</f>
        <v>0</v>
      </c>
      <c r="G50" s="112" t="e">
        <f t="shared" si="58"/>
        <v>#DIV/0!</v>
      </c>
      <c r="H50" s="112" t="e">
        <f t="shared" si="58"/>
        <v>#DIV/0!</v>
      </c>
      <c r="I50" s="112" t="e">
        <f t="shared" si="58"/>
        <v>#DIV/0!</v>
      </c>
      <c r="J50" s="112" t="e">
        <f t="shared" si="58"/>
        <v>#DIV/0!</v>
      </c>
      <c r="K50" s="112" t="e">
        <f t="shared" si="58"/>
        <v>#DIV/0!</v>
      </c>
      <c r="L50" s="112" t="e">
        <f t="shared" si="58"/>
        <v>#DIV/0!</v>
      </c>
      <c r="M50" s="112" t="e">
        <f t="shared" si="58"/>
        <v>#DIV/0!</v>
      </c>
      <c r="N50" s="112" t="e">
        <f t="shared" si="58"/>
        <v>#DIV/0!</v>
      </c>
      <c r="O50" s="112" t="e">
        <f t="shared" si="58"/>
        <v>#DIV/0!</v>
      </c>
      <c r="P50" s="112" t="e">
        <f t="shared" si="58"/>
        <v>#DIV/0!</v>
      </c>
      <c r="Q50" s="112" t="e">
        <f t="shared" si="58"/>
        <v>#DIV/0!</v>
      </c>
      <c r="R50" s="112" t="e">
        <f t="shared" si="58"/>
        <v>#DIV/0!</v>
      </c>
      <c r="S50" s="112" t="e">
        <f t="shared" si="58"/>
        <v>#DIV/0!</v>
      </c>
      <c r="T50" s="112" t="e">
        <f t="shared" si="58"/>
        <v>#DIV/0!</v>
      </c>
    </row>
    <row r="51" spans="2:20" s="104" customFormat="1" ht="12" x14ac:dyDescent="0.2">
      <c r="B51" s="111" t="s">
        <v>124</v>
      </c>
      <c r="C51" s="141">
        <v>0</v>
      </c>
      <c r="D51" s="141">
        <v>0</v>
      </c>
      <c r="E51" s="141">
        <v>0</v>
      </c>
      <c r="F51" s="112">
        <f t="shared" ref="F51:T51" si="59">F$11*discountrate_low</f>
        <v>0</v>
      </c>
      <c r="G51" s="112" t="e">
        <f t="shared" si="59"/>
        <v>#DIV/0!</v>
      </c>
      <c r="H51" s="112" t="e">
        <f t="shared" si="59"/>
        <v>#DIV/0!</v>
      </c>
      <c r="I51" s="112" t="e">
        <f t="shared" si="59"/>
        <v>#DIV/0!</v>
      </c>
      <c r="J51" s="112" t="e">
        <f t="shared" si="59"/>
        <v>#DIV/0!</v>
      </c>
      <c r="K51" s="112" t="e">
        <f t="shared" si="59"/>
        <v>#DIV/0!</v>
      </c>
      <c r="L51" s="112" t="e">
        <f t="shared" si="59"/>
        <v>#DIV/0!</v>
      </c>
      <c r="M51" s="112" t="e">
        <f t="shared" si="59"/>
        <v>#DIV/0!</v>
      </c>
      <c r="N51" s="112" t="e">
        <f t="shared" si="59"/>
        <v>#DIV/0!</v>
      </c>
      <c r="O51" s="112" t="e">
        <f t="shared" si="59"/>
        <v>#DIV/0!</v>
      </c>
      <c r="P51" s="112" t="e">
        <f t="shared" si="59"/>
        <v>#DIV/0!</v>
      </c>
      <c r="Q51" s="112" t="e">
        <f t="shared" si="59"/>
        <v>#DIV/0!</v>
      </c>
      <c r="R51" s="112" t="e">
        <f t="shared" si="59"/>
        <v>#DIV/0!</v>
      </c>
      <c r="S51" s="112" t="e">
        <f t="shared" si="59"/>
        <v>#DIV/0!</v>
      </c>
      <c r="T51" s="112" t="e">
        <f t="shared" si="59"/>
        <v>#DIV/0!</v>
      </c>
    </row>
    <row r="52" spans="2:20" s="104" customFormat="1" ht="12" x14ac:dyDescent="0.2">
      <c r="B52" s="111" t="s">
        <v>125</v>
      </c>
      <c r="C52" s="141">
        <v>0</v>
      </c>
      <c r="D52" s="141">
        <v>0</v>
      </c>
      <c r="E52" s="141">
        <v>0</v>
      </c>
      <c r="F52" s="112">
        <f t="shared" ref="F52:T52" si="60">F$11*discountrate_high</f>
        <v>0</v>
      </c>
      <c r="G52" s="112" t="e">
        <f t="shared" si="60"/>
        <v>#DIV/0!</v>
      </c>
      <c r="H52" s="112" t="e">
        <f t="shared" si="60"/>
        <v>#DIV/0!</v>
      </c>
      <c r="I52" s="112" t="e">
        <f t="shared" si="60"/>
        <v>#DIV/0!</v>
      </c>
      <c r="J52" s="112" t="e">
        <f t="shared" si="60"/>
        <v>#DIV/0!</v>
      </c>
      <c r="K52" s="112" t="e">
        <f t="shared" si="60"/>
        <v>#DIV/0!</v>
      </c>
      <c r="L52" s="112" t="e">
        <f t="shared" si="60"/>
        <v>#DIV/0!</v>
      </c>
      <c r="M52" s="112" t="e">
        <f t="shared" si="60"/>
        <v>#DIV/0!</v>
      </c>
      <c r="N52" s="112" t="e">
        <f t="shared" si="60"/>
        <v>#DIV/0!</v>
      </c>
      <c r="O52" s="112" t="e">
        <f t="shared" si="60"/>
        <v>#DIV/0!</v>
      </c>
      <c r="P52" s="112" t="e">
        <f t="shared" si="60"/>
        <v>#DIV/0!</v>
      </c>
      <c r="Q52" s="112" t="e">
        <f t="shared" si="60"/>
        <v>#DIV/0!</v>
      </c>
      <c r="R52" s="112" t="e">
        <f t="shared" si="60"/>
        <v>#DIV/0!</v>
      </c>
      <c r="S52" s="112" t="e">
        <f t="shared" si="60"/>
        <v>#DIV/0!</v>
      </c>
      <c r="T52" s="112" t="e">
        <f t="shared" si="60"/>
        <v>#DIV/0!</v>
      </c>
    </row>
    <row r="53" spans="2:20" s="104" customFormat="1" ht="12" x14ac:dyDescent="0.2">
      <c r="B53" s="111" t="s">
        <v>161</v>
      </c>
      <c r="C53" s="141">
        <v>0</v>
      </c>
      <c r="D53" s="141">
        <v>0</v>
      </c>
      <c r="E53" s="141">
        <v>0</v>
      </c>
      <c r="F53" s="112">
        <f t="shared" ref="F53:T53" si="61">F46-F35</f>
        <v>0</v>
      </c>
      <c r="G53" s="112">
        <f t="shared" si="61"/>
        <v>0</v>
      </c>
      <c r="H53" s="112">
        <f t="shared" si="61"/>
        <v>0</v>
      </c>
      <c r="I53" s="112">
        <f t="shared" si="61"/>
        <v>0</v>
      </c>
      <c r="J53" s="112">
        <f t="shared" si="61"/>
        <v>0</v>
      </c>
      <c r="K53" s="112">
        <f t="shared" si="61"/>
        <v>0</v>
      </c>
      <c r="L53" s="112">
        <f t="shared" si="61"/>
        <v>0</v>
      </c>
      <c r="M53" s="112">
        <f t="shared" si="61"/>
        <v>0</v>
      </c>
      <c r="N53" s="112">
        <f t="shared" si="61"/>
        <v>0</v>
      </c>
      <c r="O53" s="112">
        <f t="shared" si="61"/>
        <v>0</v>
      </c>
      <c r="P53" s="112">
        <f t="shared" si="61"/>
        <v>0</v>
      </c>
      <c r="Q53" s="112">
        <f t="shared" si="61"/>
        <v>0</v>
      </c>
      <c r="R53" s="112">
        <f t="shared" si="61"/>
        <v>0</v>
      </c>
      <c r="S53" s="112">
        <f t="shared" si="61"/>
        <v>0</v>
      </c>
      <c r="T53" s="112">
        <f t="shared" si="61"/>
        <v>0</v>
      </c>
    </row>
    <row r="54" spans="2:20" s="104" customFormat="1" ht="12" x14ac:dyDescent="0.2">
      <c r="B54" s="111" t="s">
        <v>154</v>
      </c>
      <c r="C54" s="141">
        <v>0</v>
      </c>
      <c r="D54" s="141">
        <v>0</v>
      </c>
      <c r="E54" s="141">
        <v>0</v>
      </c>
      <c r="F54" s="112" t="e">
        <f t="shared" ref="F54:T54" si="62">F$35-F$12+F$13+(F$11*discountrate)</f>
        <v>#DIV/0!</v>
      </c>
      <c r="G54" s="112" t="e">
        <f t="shared" si="62"/>
        <v>#DIV/0!</v>
      </c>
      <c r="H54" s="112" t="e">
        <f t="shared" si="62"/>
        <v>#DIV/0!</v>
      </c>
      <c r="I54" s="112" t="e">
        <f t="shared" si="62"/>
        <v>#DIV/0!</v>
      </c>
      <c r="J54" s="112" t="e">
        <f t="shared" si="62"/>
        <v>#DIV/0!</v>
      </c>
      <c r="K54" s="112" t="e">
        <f t="shared" si="62"/>
        <v>#DIV/0!</v>
      </c>
      <c r="L54" s="112" t="e">
        <f t="shared" si="62"/>
        <v>#DIV/0!</v>
      </c>
      <c r="M54" s="112" t="e">
        <f t="shared" si="62"/>
        <v>#DIV/0!</v>
      </c>
      <c r="N54" s="112" t="e">
        <f t="shared" si="62"/>
        <v>#DIV/0!</v>
      </c>
      <c r="O54" s="112" t="e">
        <f t="shared" si="62"/>
        <v>#DIV/0!</v>
      </c>
      <c r="P54" s="112" t="e">
        <f t="shared" si="62"/>
        <v>#DIV/0!</v>
      </c>
      <c r="Q54" s="112" t="e">
        <f t="shared" si="62"/>
        <v>#DIV/0!</v>
      </c>
      <c r="R54" s="112" t="e">
        <f t="shared" si="62"/>
        <v>#DIV/0!</v>
      </c>
      <c r="S54" s="112" t="e">
        <f t="shared" si="62"/>
        <v>#DIV/0!</v>
      </c>
      <c r="T54" s="112" t="e">
        <f t="shared" si="62"/>
        <v>#DIV/0!</v>
      </c>
    </row>
    <row r="55" spans="2:20" s="104" customFormat="1" ht="12" x14ac:dyDescent="0.2">
      <c r="B55" s="111" t="s">
        <v>155</v>
      </c>
      <c r="C55" s="141">
        <v>0</v>
      </c>
      <c r="D55" s="141">
        <v>0</v>
      </c>
      <c r="E55" s="141">
        <v>0</v>
      </c>
      <c r="F55" s="112" t="e">
        <f t="shared" ref="F55:T55" si="63">F$35-F$12+F$13+(F$11*discountrate_low)</f>
        <v>#DIV/0!</v>
      </c>
      <c r="G55" s="112" t="e">
        <f t="shared" si="63"/>
        <v>#DIV/0!</v>
      </c>
      <c r="H55" s="112" t="e">
        <f t="shared" si="63"/>
        <v>#DIV/0!</v>
      </c>
      <c r="I55" s="112" t="e">
        <f t="shared" si="63"/>
        <v>#DIV/0!</v>
      </c>
      <c r="J55" s="112" t="e">
        <f t="shared" si="63"/>
        <v>#DIV/0!</v>
      </c>
      <c r="K55" s="112" t="e">
        <f t="shared" si="63"/>
        <v>#DIV/0!</v>
      </c>
      <c r="L55" s="112" t="e">
        <f t="shared" si="63"/>
        <v>#DIV/0!</v>
      </c>
      <c r="M55" s="112" t="e">
        <f t="shared" si="63"/>
        <v>#DIV/0!</v>
      </c>
      <c r="N55" s="112" t="e">
        <f t="shared" si="63"/>
        <v>#DIV/0!</v>
      </c>
      <c r="O55" s="112" t="e">
        <f t="shared" si="63"/>
        <v>#DIV/0!</v>
      </c>
      <c r="P55" s="112" t="e">
        <f t="shared" si="63"/>
        <v>#DIV/0!</v>
      </c>
      <c r="Q55" s="112" t="e">
        <f t="shared" si="63"/>
        <v>#DIV/0!</v>
      </c>
      <c r="R55" s="112" t="e">
        <f t="shared" si="63"/>
        <v>#DIV/0!</v>
      </c>
      <c r="S55" s="112" t="e">
        <f t="shared" si="63"/>
        <v>#DIV/0!</v>
      </c>
      <c r="T55" s="112" t="e">
        <f t="shared" si="63"/>
        <v>#DIV/0!</v>
      </c>
    </row>
    <row r="56" spans="2:20" s="104" customFormat="1" ht="12" x14ac:dyDescent="0.2">
      <c r="B56" s="111" t="s">
        <v>156</v>
      </c>
      <c r="C56" s="141">
        <v>0</v>
      </c>
      <c r="D56" s="141">
        <v>0</v>
      </c>
      <c r="E56" s="141">
        <v>0</v>
      </c>
      <c r="F56" s="112" t="e">
        <f t="shared" ref="F56:T56" si="64">F$35-F$12+F$13+(F$11*discountrate_high)</f>
        <v>#DIV/0!</v>
      </c>
      <c r="G56" s="112" t="e">
        <f t="shared" si="64"/>
        <v>#DIV/0!</v>
      </c>
      <c r="H56" s="112" t="e">
        <f t="shared" si="64"/>
        <v>#DIV/0!</v>
      </c>
      <c r="I56" s="112" t="e">
        <f t="shared" si="64"/>
        <v>#DIV/0!</v>
      </c>
      <c r="J56" s="112" t="e">
        <f t="shared" si="64"/>
        <v>#DIV/0!</v>
      </c>
      <c r="K56" s="112" t="e">
        <f t="shared" si="64"/>
        <v>#DIV/0!</v>
      </c>
      <c r="L56" s="112" t="e">
        <f t="shared" si="64"/>
        <v>#DIV/0!</v>
      </c>
      <c r="M56" s="112" t="e">
        <f t="shared" si="64"/>
        <v>#DIV/0!</v>
      </c>
      <c r="N56" s="112" t="e">
        <f t="shared" si="64"/>
        <v>#DIV/0!</v>
      </c>
      <c r="O56" s="112" t="e">
        <f t="shared" si="64"/>
        <v>#DIV/0!</v>
      </c>
      <c r="P56" s="112" t="e">
        <f t="shared" si="64"/>
        <v>#DIV/0!</v>
      </c>
      <c r="Q56" s="112" t="e">
        <f t="shared" si="64"/>
        <v>#DIV/0!</v>
      </c>
      <c r="R56" s="112" t="e">
        <f t="shared" si="64"/>
        <v>#DIV/0!</v>
      </c>
      <c r="S56" s="112" t="e">
        <f t="shared" si="64"/>
        <v>#DIV/0!</v>
      </c>
      <c r="T56" s="112" t="e">
        <f t="shared" si="64"/>
        <v>#DIV/0!</v>
      </c>
    </row>
    <row r="57" spans="2:20" s="104" customFormat="1" ht="12" x14ac:dyDescent="0.2">
      <c r="B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</row>
    <row r="58" spans="2:20" s="104" customFormat="1" ht="12" x14ac:dyDescent="0.2">
      <c r="B58" s="113" t="s">
        <v>158</v>
      </c>
      <c r="C58" s="114">
        <v>0</v>
      </c>
      <c r="D58" s="114">
        <v>0</v>
      </c>
      <c r="E58" s="114">
        <v>0</v>
      </c>
      <c r="F58" s="114" t="e">
        <f>F$46-F54</f>
        <v>#DIV/0!</v>
      </c>
      <c r="G58" s="114" t="e">
        <f t="shared" ref="G58:T58" si="65">G$46-G54</f>
        <v>#DIV/0!</v>
      </c>
      <c r="H58" s="114" t="e">
        <f t="shared" si="65"/>
        <v>#DIV/0!</v>
      </c>
      <c r="I58" s="114" t="e">
        <f t="shared" si="65"/>
        <v>#DIV/0!</v>
      </c>
      <c r="J58" s="114" t="e">
        <f t="shared" si="65"/>
        <v>#DIV/0!</v>
      </c>
      <c r="K58" s="114" t="e">
        <f t="shared" si="65"/>
        <v>#DIV/0!</v>
      </c>
      <c r="L58" s="114" t="e">
        <f t="shared" si="65"/>
        <v>#DIV/0!</v>
      </c>
      <c r="M58" s="114" t="e">
        <f t="shared" si="65"/>
        <v>#DIV/0!</v>
      </c>
      <c r="N58" s="114" t="e">
        <f t="shared" si="65"/>
        <v>#DIV/0!</v>
      </c>
      <c r="O58" s="114" t="e">
        <f t="shared" si="65"/>
        <v>#DIV/0!</v>
      </c>
      <c r="P58" s="114" t="e">
        <f t="shared" si="65"/>
        <v>#DIV/0!</v>
      </c>
      <c r="Q58" s="114" t="e">
        <f t="shared" si="65"/>
        <v>#DIV/0!</v>
      </c>
      <c r="R58" s="114" t="e">
        <f t="shared" si="65"/>
        <v>#DIV/0!</v>
      </c>
      <c r="S58" s="114" t="e">
        <f t="shared" si="65"/>
        <v>#DIV/0!</v>
      </c>
      <c r="T58" s="114" t="e">
        <f t="shared" si="65"/>
        <v>#DIV/0!</v>
      </c>
    </row>
    <row r="59" spans="2:20" s="104" customFormat="1" ht="12" x14ac:dyDescent="0.2">
      <c r="B59" s="113" t="s">
        <v>159</v>
      </c>
      <c r="C59" s="114">
        <v>0</v>
      </c>
      <c r="D59" s="114">
        <v>0</v>
      </c>
      <c r="E59" s="114">
        <v>0</v>
      </c>
      <c r="F59" s="114" t="e">
        <f t="shared" ref="F59:T59" si="66">F$46-F55</f>
        <v>#DIV/0!</v>
      </c>
      <c r="G59" s="114" t="e">
        <f t="shared" si="66"/>
        <v>#DIV/0!</v>
      </c>
      <c r="H59" s="114" t="e">
        <f t="shared" si="66"/>
        <v>#DIV/0!</v>
      </c>
      <c r="I59" s="114" t="e">
        <f t="shared" si="66"/>
        <v>#DIV/0!</v>
      </c>
      <c r="J59" s="114" t="e">
        <f t="shared" si="66"/>
        <v>#DIV/0!</v>
      </c>
      <c r="K59" s="114" t="e">
        <f t="shared" si="66"/>
        <v>#DIV/0!</v>
      </c>
      <c r="L59" s="114" t="e">
        <f t="shared" si="66"/>
        <v>#DIV/0!</v>
      </c>
      <c r="M59" s="114" t="e">
        <f t="shared" si="66"/>
        <v>#DIV/0!</v>
      </c>
      <c r="N59" s="114" t="e">
        <f t="shared" si="66"/>
        <v>#DIV/0!</v>
      </c>
      <c r="O59" s="114" t="e">
        <f t="shared" si="66"/>
        <v>#DIV/0!</v>
      </c>
      <c r="P59" s="114" t="e">
        <f t="shared" si="66"/>
        <v>#DIV/0!</v>
      </c>
      <c r="Q59" s="114" t="e">
        <f t="shared" si="66"/>
        <v>#DIV/0!</v>
      </c>
      <c r="R59" s="114" t="e">
        <f t="shared" si="66"/>
        <v>#DIV/0!</v>
      </c>
      <c r="S59" s="114" t="e">
        <f t="shared" si="66"/>
        <v>#DIV/0!</v>
      </c>
      <c r="T59" s="114" t="e">
        <f t="shared" si="66"/>
        <v>#DIV/0!</v>
      </c>
    </row>
    <row r="60" spans="2:20" s="104" customFormat="1" ht="12" x14ac:dyDescent="0.2">
      <c r="B60" s="113" t="s">
        <v>160</v>
      </c>
      <c r="C60" s="114">
        <v>0</v>
      </c>
      <c r="D60" s="114">
        <v>0</v>
      </c>
      <c r="E60" s="114">
        <v>0</v>
      </c>
      <c r="F60" s="114" t="e">
        <f t="shared" ref="F60:T60" si="67">F$46-F56</f>
        <v>#DIV/0!</v>
      </c>
      <c r="G60" s="114" t="e">
        <f t="shared" si="67"/>
        <v>#DIV/0!</v>
      </c>
      <c r="H60" s="114" t="e">
        <f t="shared" si="67"/>
        <v>#DIV/0!</v>
      </c>
      <c r="I60" s="114" t="e">
        <f t="shared" si="67"/>
        <v>#DIV/0!</v>
      </c>
      <c r="J60" s="114" t="e">
        <f t="shared" si="67"/>
        <v>#DIV/0!</v>
      </c>
      <c r="K60" s="114" t="e">
        <f t="shared" si="67"/>
        <v>#DIV/0!</v>
      </c>
      <c r="L60" s="114" t="e">
        <f t="shared" si="67"/>
        <v>#DIV/0!</v>
      </c>
      <c r="M60" s="114" t="e">
        <f t="shared" si="67"/>
        <v>#DIV/0!</v>
      </c>
      <c r="N60" s="114" t="e">
        <f t="shared" si="67"/>
        <v>#DIV/0!</v>
      </c>
      <c r="O60" s="114" t="e">
        <f t="shared" si="67"/>
        <v>#DIV/0!</v>
      </c>
      <c r="P60" s="114" t="e">
        <f t="shared" si="67"/>
        <v>#DIV/0!</v>
      </c>
      <c r="Q60" s="114" t="e">
        <f t="shared" si="67"/>
        <v>#DIV/0!</v>
      </c>
      <c r="R60" s="114" t="e">
        <f t="shared" si="67"/>
        <v>#DIV/0!</v>
      </c>
      <c r="S60" s="114" t="e">
        <f t="shared" si="67"/>
        <v>#DIV/0!</v>
      </c>
      <c r="T60" s="114" t="e">
        <f t="shared" si="67"/>
        <v>#DIV/0!</v>
      </c>
    </row>
    <row r="61" spans="2:20" s="104" customFormat="1" ht="12" x14ac:dyDescent="0.2"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2:20" s="104" customFormat="1" ht="12" x14ac:dyDescent="0.2">
      <c r="B62" s="115"/>
      <c r="C62" s="116" t="s">
        <v>8</v>
      </c>
      <c r="D62" s="116" t="s">
        <v>126</v>
      </c>
      <c r="E62" s="116" t="s">
        <v>127</v>
      </c>
      <c r="F62" s="116" t="s">
        <v>128</v>
      </c>
      <c r="G62" s="105"/>
      <c r="H62" s="117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spans="2:20" s="104" customFormat="1" ht="12" x14ac:dyDescent="0.2">
      <c r="B63" s="118" t="s">
        <v>9</v>
      </c>
      <c r="C63" s="119">
        <f>SUM(C7:T7)</f>
        <v>0</v>
      </c>
      <c r="D63" s="119">
        <f>$C$7+NPV(discountrate,Analysis!$D$7:$T$7)</f>
        <v>0</v>
      </c>
      <c r="E63" s="119">
        <f>$C$7+NPV(discountrate_low,Analysis!$D$7:$T$7)</f>
        <v>0</v>
      </c>
      <c r="F63" s="119">
        <f>$C$7+NPV(discountrate_high,Analysis!$D$7:$T$7)</f>
        <v>0</v>
      </c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</row>
    <row r="64" spans="2:20" s="104" customFormat="1" ht="12" x14ac:dyDescent="0.2">
      <c r="B64" s="120" t="s">
        <v>10</v>
      </c>
      <c r="C64" s="119">
        <f>SUM(C35:T35)</f>
        <v>0</v>
      </c>
      <c r="D64" s="119">
        <f>$C$35+NPV(discountrate,Analysis!$D$35:$T$35)</f>
        <v>0</v>
      </c>
      <c r="E64" s="119">
        <f>$C$35+NPV(discountrate_low,Analysis!$D$35:$T$35)</f>
        <v>0</v>
      </c>
      <c r="F64" s="119">
        <f>$C$35+NPV(discountrate_high,Analysis!$D$35:$T$35)</f>
        <v>0</v>
      </c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5" spans="2:19" s="104" customFormat="1" ht="12" x14ac:dyDescent="0.2">
      <c r="B65" s="120" t="s">
        <v>11</v>
      </c>
      <c r="C65" s="119">
        <f>SUM(C46:T46)</f>
        <v>0</v>
      </c>
      <c r="D65" s="119">
        <f>$C$46+NPV(discountrate,Analysis!$D$46:$T$46)</f>
        <v>0</v>
      </c>
      <c r="E65" s="119">
        <f>$C$46+NPV(discountrate_low,Analysis!$D$46:$T$46)</f>
        <v>0</v>
      </c>
      <c r="F65" s="119">
        <f>$C$46+NPV(discountrate_high,Analysis!$D$46:$T$46)</f>
        <v>0</v>
      </c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</row>
    <row r="66" spans="2:19" s="104" customFormat="1" ht="12" x14ac:dyDescent="0.2">
      <c r="B66" s="120" t="s">
        <v>12</v>
      </c>
      <c r="C66" s="121">
        <f>C65-C64-C63</f>
        <v>0</v>
      </c>
      <c r="D66" s="121" t="e">
        <f>D65-D64-D63+D69</f>
        <v>#DIV/0!</v>
      </c>
      <c r="E66" s="121" t="e">
        <f>E65-E64-E63+E69</f>
        <v>#DIV/0!</v>
      </c>
      <c r="F66" s="121" t="e">
        <f>F65-F64-F63+F69</f>
        <v>#DIV/0!</v>
      </c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2:19" s="104" customFormat="1" ht="12" x14ac:dyDescent="0.2">
      <c r="B67" s="120" t="s">
        <v>153</v>
      </c>
      <c r="C67" s="119">
        <f>'Capital Cost Breakdown'!H43</f>
        <v>0</v>
      </c>
      <c r="D67" s="119">
        <f>'Capital Cost Breakdown'!$E$43+NPV(discountrate,'Capital Cost Breakdown'!$F$43:$G$43)</f>
        <v>0</v>
      </c>
      <c r="E67" s="119">
        <f>'Capital Cost Breakdown'!$E$43+NPV(discountrate_low,'Capital Cost Breakdown'!$F$43:$G$43)</f>
        <v>0</v>
      </c>
      <c r="F67" s="119">
        <f>'Capital Cost Breakdown'!$E$43+NPV(discountrate_high,'Capital Cost Breakdown'!$F$43:$G$43)</f>
        <v>0</v>
      </c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</row>
    <row r="68" spans="2:19" s="104" customFormat="1" ht="12" x14ac:dyDescent="0.2">
      <c r="B68" s="120" t="s">
        <v>142</v>
      </c>
      <c r="C68" s="123">
        <f>C67+C65-C63-C64</f>
        <v>0</v>
      </c>
      <c r="D68" s="123" t="e">
        <f>D67+D65-D63-D64+D69</f>
        <v>#DIV/0!</v>
      </c>
      <c r="E68" s="123" t="e">
        <f>E67+E65-E63-E64+E69</f>
        <v>#DIV/0!</v>
      </c>
      <c r="F68" s="123" t="e">
        <f>F67+F65-F63-F64+F69</f>
        <v>#DIV/0!</v>
      </c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2:19" s="104" customFormat="1" ht="12" x14ac:dyDescent="0.2">
      <c r="B69" s="120" t="s">
        <v>150</v>
      </c>
      <c r="C69" s="122" t="e">
        <f>T14</f>
        <v>#DIV/0!</v>
      </c>
      <c r="D69" s="119" t="e">
        <f>$C$69/(1+discountrate)^COUNT(Analysis!$C$48:$T$48)</f>
        <v>#DIV/0!</v>
      </c>
      <c r="E69" s="119" t="e">
        <f>$C$69/(1+discountrate_low)^COUNT(Analysis!$C$48:$T$48)</f>
        <v>#DIV/0!</v>
      </c>
      <c r="F69" s="119" t="e">
        <f>$C$69/(1+discountrate_high)^COUNT(Analysis!$C$48:$T$48)</f>
        <v>#DIV/0!</v>
      </c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</row>
    <row r="70" spans="2:19" x14ac:dyDescent="0.2">
      <c r="C70" s="102"/>
      <c r="D70" s="102"/>
      <c r="E70" s="102"/>
      <c r="F70" s="102"/>
    </row>
    <row r="71" spans="2:19" x14ac:dyDescent="0.2">
      <c r="B71" s="120" t="s">
        <v>181</v>
      </c>
      <c r="C71" s="122"/>
      <c r="D71" s="119" t="e">
        <f>$C$54+NPV(discountrate,Analysis!$D$54:$T$54)</f>
        <v>#DIV/0!</v>
      </c>
      <c r="E71" s="119" t="e">
        <f>$C$55+NPV(discountrate_low,Analysis!$D$55:$T$55)</f>
        <v>#DIV/0!</v>
      </c>
      <c r="F71" s="119" t="e">
        <f>$C$56+NPV(discountrate_high,Analysis!$D$56:$T$56)</f>
        <v>#DIV/0!</v>
      </c>
    </row>
    <row r="72" spans="2:19" x14ac:dyDescent="0.2">
      <c r="B72" s="120" t="s">
        <v>157</v>
      </c>
      <c r="C72" s="122"/>
      <c r="D72" s="119" t="e">
        <f>$C$58+NPV(discountrate,Analysis!$D$58:$T$58)</f>
        <v>#DIV/0!</v>
      </c>
      <c r="E72" s="119" t="e">
        <f>$C$59+NPV(discountrate_low,Analysis!$D$59:$T$59)</f>
        <v>#DIV/0!</v>
      </c>
      <c r="F72" s="119" t="e">
        <f>$C$60+NPV(discountrate_high,Analysis!$D$60:$T$60)</f>
        <v>#DIV/0!</v>
      </c>
    </row>
    <row r="73" spans="2:19" x14ac:dyDescent="0.2">
      <c r="B73" s="120" t="s">
        <v>180</v>
      </c>
      <c r="C73" s="122"/>
      <c r="D73" s="123" t="e">
        <f>D71-D65</f>
        <v>#DIV/0!</v>
      </c>
      <c r="E73" s="123" t="e">
        <f t="shared" ref="E73:F73" si="68">E71-E65</f>
        <v>#DIV/0!</v>
      </c>
      <c r="F73" s="123" t="e">
        <f t="shared" si="68"/>
        <v>#DIV/0!</v>
      </c>
    </row>
    <row r="74" spans="2:19" ht="24" x14ac:dyDescent="0.2">
      <c r="B74" s="120" t="s">
        <v>182</v>
      </c>
      <c r="C74" s="122"/>
      <c r="D74" s="123" t="e">
        <f>D68-D72</f>
        <v>#DIV/0!</v>
      </c>
      <c r="E74" s="123" t="e">
        <f t="shared" ref="E74:F74" si="69">E68-E72</f>
        <v>#DIV/0!</v>
      </c>
      <c r="F74" s="123" t="e">
        <f t="shared" si="69"/>
        <v>#DIV/0!</v>
      </c>
    </row>
    <row r="76" spans="2:19" x14ac:dyDescent="0.2">
      <c r="B76" s="120" t="s">
        <v>151</v>
      </c>
      <c r="C76" s="122"/>
      <c r="D76" s="121" t="e">
        <f>IF(D72&lt;0,"Yes","No")</f>
        <v>#DIV/0!</v>
      </c>
      <c r="E76" s="121" t="e">
        <f>IF(E72&lt;0,"Yes","No")</f>
        <v>#DIV/0!</v>
      </c>
      <c r="F76" s="121" t="e">
        <f>IF(F72&lt;0,"Yes","No")</f>
        <v>#DIV/0!</v>
      </c>
    </row>
    <row r="78" spans="2:19" x14ac:dyDescent="0.2">
      <c r="B78" s="142" t="s">
        <v>143</v>
      </c>
      <c r="D78" s="116" t="s">
        <v>126</v>
      </c>
      <c r="E78" s="116" t="s">
        <v>127</v>
      </c>
      <c r="F78" s="116" t="s">
        <v>128</v>
      </c>
    </row>
    <row r="79" spans="2:19" x14ac:dyDescent="0.2">
      <c r="C79" s="120" t="s">
        <v>12</v>
      </c>
      <c r="D79" s="121" t="e">
        <f>(discountrate*(D66))/(1-(1+discountrate)^-COUNT($C$48:$T$48))</f>
        <v>#DIV/0!</v>
      </c>
      <c r="E79" s="121" t="e">
        <f>(discountrate_low*(E66))/(1-(1+discountrate_low)^-COUNT($C$48:$T$48))</f>
        <v>#DIV/0!</v>
      </c>
      <c r="F79" s="121" t="e">
        <f>(discountrate_high*(F66))/(1-(1+discountrate_high)^-COUNT($C$48:$T$48))</f>
        <v>#DIV/0!</v>
      </c>
    </row>
    <row r="80" spans="2:19" ht="24" x14ac:dyDescent="0.2">
      <c r="C80" s="120" t="s">
        <v>142</v>
      </c>
      <c r="D80" s="121" t="e">
        <f>(discountrate*(D68))/(1-(1+discountrate)^-COUNT($C$48:$T$48))</f>
        <v>#DIV/0!</v>
      </c>
      <c r="E80" s="121" t="e">
        <f>(discountrate_low*(E68))/(1-(1+discountrate_low)^-COUNT($C$48:$T$48))</f>
        <v>#DIV/0!</v>
      </c>
      <c r="F80" s="121" t="e">
        <f>(discountrate_high*(F68))/(1-(1+discountrate_high)^-COUNT($C$48:$T$48))</f>
        <v>#DIV/0!</v>
      </c>
    </row>
    <row r="84" spans="2:20" x14ac:dyDescent="0.2">
      <c r="B84" s="81" t="s">
        <v>171</v>
      </c>
      <c r="C84" s="82" t="str">
        <f>C48</f>
        <v/>
      </c>
      <c r="D84" s="82" t="str">
        <f t="shared" ref="D84:T84" si="70">D48</f>
        <v/>
      </c>
      <c r="E84" s="82" t="str">
        <f t="shared" si="70"/>
        <v/>
      </c>
      <c r="F84" s="82">
        <f t="shared" si="70"/>
        <v>1900</v>
      </c>
      <c r="G84" s="82">
        <f t="shared" si="70"/>
        <v>1901</v>
      </c>
      <c r="H84" s="82">
        <f t="shared" si="70"/>
        <v>1902</v>
      </c>
      <c r="I84" s="82">
        <f t="shared" si="70"/>
        <v>1903</v>
      </c>
      <c r="J84" s="82">
        <f t="shared" si="70"/>
        <v>1904</v>
      </c>
      <c r="K84" s="82">
        <f t="shared" si="70"/>
        <v>1905</v>
      </c>
      <c r="L84" s="82">
        <f t="shared" si="70"/>
        <v>1906</v>
      </c>
      <c r="M84" s="82">
        <f t="shared" si="70"/>
        <v>1907</v>
      </c>
      <c r="N84" s="82">
        <f t="shared" si="70"/>
        <v>1908</v>
      </c>
      <c r="O84" s="82">
        <f t="shared" si="70"/>
        <v>1909</v>
      </c>
      <c r="P84" s="82">
        <f t="shared" si="70"/>
        <v>1910</v>
      </c>
      <c r="Q84" s="82">
        <f t="shared" si="70"/>
        <v>1911</v>
      </c>
      <c r="R84" s="82">
        <f t="shared" si="70"/>
        <v>1912</v>
      </c>
      <c r="S84" s="82">
        <f t="shared" si="70"/>
        <v>1913</v>
      </c>
      <c r="T84" s="82">
        <f t="shared" si="70"/>
        <v>1914</v>
      </c>
    </row>
    <row r="85" spans="2:20" x14ac:dyDescent="0.2">
      <c r="B85" s="111" t="s">
        <v>123</v>
      </c>
      <c r="C85" s="141">
        <v>0</v>
      </c>
      <c r="D85" s="141">
        <v>0</v>
      </c>
      <c r="E85" s="141">
        <v>0</v>
      </c>
      <c r="F85" s="112">
        <f t="shared" ref="F85:T85" si="71">F$18*discountrate</f>
        <v>0</v>
      </c>
      <c r="G85" s="112" t="e">
        <f t="shared" si="71"/>
        <v>#DIV/0!</v>
      </c>
      <c r="H85" s="112" t="e">
        <f t="shared" si="71"/>
        <v>#DIV/0!</v>
      </c>
      <c r="I85" s="112" t="e">
        <f t="shared" si="71"/>
        <v>#DIV/0!</v>
      </c>
      <c r="J85" s="112" t="e">
        <f t="shared" si="71"/>
        <v>#DIV/0!</v>
      </c>
      <c r="K85" s="112" t="e">
        <f t="shared" si="71"/>
        <v>#DIV/0!</v>
      </c>
      <c r="L85" s="112" t="e">
        <f t="shared" si="71"/>
        <v>#DIV/0!</v>
      </c>
      <c r="M85" s="112" t="e">
        <f t="shared" si="71"/>
        <v>#DIV/0!</v>
      </c>
      <c r="N85" s="112" t="e">
        <f t="shared" si="71"/>
        <v>#DIV/0!</v>
      </c>
      <c r="O85" s="112" t="e">
        <f t="shared" si="71"/>
        <v>#DIV/0!</v>
      </c>
      <c r="P85" s="112" t="e">
        <f t="shared" si="71"/>
        <v>#DIV/0!</v>
      </c>
      <c r="Q85" s="112" t="e">
        <f t="shared" si="71"/>
        <v>#DIV/0!</v>
      </c>
      <c r="R85" s="112" t="e">
        <f t="shared" si="71"/>
        <v>#DIV/0!</v>
      </c>
      <c r="S85" s="112" t="e">
        <f t="shared" si="71"/>
        <v>#DIV/0!</v>
      </c>
      <c r="T85" s="112" t="e">
        <f t="shared" si="71"/>
        <v>#DIV/0!</v>
      </c>
    </row>
    <row r="86" spans="2:20" x14ac:dyDescent="0.2">
      <c r="B86" s="111" t="s">
        <v>124</v>
      </c>
      <c r="C86" s="141">
        <v>0</v>
      </c>
      <c r="D86" s="141">
        <v>0</v>
      </c>
      <c r="E86" s="141">
        <v>0</v>
      </c>
      <c r="F86" s="112">
        <f t="shared" ref="F86:T86" si="72">F$18*discountrate_low</f>
        <v>0</v>
      </c>
      <c r="G86" s="112" t="e">
        <f t="shared" si="72"/>
        <v>#DIV/0!</v>
      </c>
      <c r="H86" s="112" t="e">
        <f t="shared" si="72"/>
        <v>#DIV/0!</v>
      </c>
      <c r="I86" s="112" t="e">
        <f t="shared" si="72"/>
        <v>#DIV/0!</v>
      </c>
      <c r="J86" s="112" t="e">
        <f t="shared" si="72"/>
        <v>#DIV/0!</v>
      </c>
      <c r="K86" s="112" t="e">
        <f t="shared" si="72"/>
        <v>#DIV/0!</v>
      </c>
      <c r="L86" s="112" t="e">
        <f t="shared" si="72"/>
        <v>#DIV/0!</v>
      </c>
      <c r="M86" s="112" t="e">
        <f t="shared" si="72"/>
        <v>#DIV/0!</v>
      </c>
      <c r="N86" s="112" t="e">
        <f t="shared" si="72"/>
        <v>#DIV/0!</v>
      </c>
      <c r="O86" s="112" t="e">
        <f t="shared" si="72"/>
        <v>#DIV/0!</v>
      </c>
      <c r="P86" s="112" t="e">
        <f t="shared" si="72"/>
        <v>#DIV/0!</v>
      </c>
      <c r="Q86" s="112" t="e">
        <f t="shared" si="72"/>
        <v>#DIV/0!</v>
      </c>
      <c r="R86" s="112" t="e">
        <f t="shared" si="72"/>
        <v>#DIV/0!</v>
      </c>
      <c r="S86" s="112" t="e">
        <f t="shared" si="72"/>
        <v>#DIV/0!</v>
      </c>
      <c r="T86" s="112" t="e">
        <f t="shared" si="72"/>
        <v>#DIV/0!</v>
      </c>
    </row>
    <row r="87" spans="2:20" x14ac:dyDescent="0.2">
      <c r="B87" s="111" t="s">
        <v>125</v>
      </c>
      <c r="C87" s="141">
        <v>0</v>
      </c>
      <c r="D87" s="141">
        <v>0</v>
      </c>
      <c r="E87" s="141">
        <v>0</v>
      </c>
      <c r="F87" s="112">
        <f t="shared" ref="F87:T87" si="73">F$18*discountrate_high</f>
        <v>0</v>
      </c>
      <c r="G87" s="112" t="e">
        <f t="shared" si="73"/>
        <v>#DIV/0!</v>
      </c>
      <c r="H87" s="112" t="e">
        <f t="shared" si="73"/>
        <v>#DIV/0!</v>
      </c>
      <c r="I87" s="112" t="e">
        <f t="shared" si="73"/>
        <v>#DIV/0!</v>
      </c>
      <c r="J87" s="112" t="e">
        <f t="shared" si="73"/>
        <v>#DIV/0!</v>
      </c>
      <c r="K87" s="112" t="e">
        <f t="shared" si="73"/>
        <v>#DIV/0!</v>
      </c>
      <c r="L87" s="112" t="e">
        <f t="shared" si="73"/>
        <v>#DIV/0!</v>
      </c>
      <c r="M87" s="112" t="e">
        <f t="shared" si="73"/>
        <v>#DIV/0!</v>
      </c>
      <c r="N87" s="112" t="e">
        <f t="shared" si="73"/>
        <v>#DIV/0!</v>
      </c>
      <c r="O87" s="112" t="e">
        <f t="shared" si="73"/>
        <v>#DIV/0!</v>
      </c>
      <c r="P87" s="112" t="e">
        <f t="shared" si="73"/>
        <v>#DIV/0!</v>
      </c>
      <c r="Q87" s="112" t="e">
        <f t="shared" si="73"/>
        <v>#DIV/0!</v>
      </c>
      <c r="R87" s="112" t="e">
        <f t="shared" si="73"/>
        <v>#DIV/0!</v>
      </c>
      <c r="S87" s="112" t="e">
        <f t="shared" si="73"/>
        <v>#DIV/0!</v>
      </c>
      <c r="T87" s="112" t="e">
        <f t="shared" si="73"/>
        <v>#DIV/0!</v>
      </c>
    </row>
    <row r="88" spans="2:20" x14ac:dyDescent="0.2">
      <c r="B88" s="111" t="s">
        <v>17</v>
      </c>
      <c r="C88" s="141">
        <v>0</v>
      </c>
      <c r="D88" s="141">
        <v>0</v>
      </c>
      <c r="E88" s="141">
        <v>0</v>
      </c>
      <c r="F88" s="112" t="e">
        <f t="shared" ref="F88:T88" si="74">F20</f>
        <v>#DIV/0!</v>
      </c>
      <c r="G88" s="112" t="e">
        <f t="shared" si="74"/>
        <v>#DIV/0!</v>
      </c>
      <c r="H88" s="112" t="e">
        <f t="shared" si="74"/>
        <v>#DIV/0!</v>
      </c>
      <c r="I88" s="112" t="e">
        <f t="shared" si="74"/>
        <v>#DIV/0!</v>
      </c>
      <c r="J88" s="112" t="e">
        <f t="shared" si="74"/>
        <v>#DIV/0!</v>
      </c>
      <c r="K88" s="112" t="e">
        <f t="shared" si="74"/>
        <v>#DIV/0!</v>
      </c>
      <c r="L88" s="112" t="e">
        <f t="shared" si="74"/>
        <v>#DIV/0!</v>
      </c>
      <c r="M88" s="112" t="e">
        <f t="shared" si="74"/>
        <v>#DIV/0!</v>
      </c>
      <c r="N88" s="112" t="e">
        <f t="shared" si="74"/>
        <v>#DIV/0!</v>
      </c>
      <c r="O88" s="112" t="e">
        <f t="shared" si="74"/>
        <v>#DIV/0!</v>
      </c>
      <c r="P88" s="112" t="e">
        <f t="shared" si="74"/>
        <v>#DIV/0!</v>
      </c>
      <c r="Q88" s="112" t="e">
        <f t="shared" si="74"/>
        <v>#DIV/0!</v>
      </c>
      <c r="R88" s="112" t="e">
        <f t="shared" si="74"/>
        <v>#DIV/0!</v>
      </c>
      <c r="S88" s="112" t="e">
        <f t="shared" si="74"/>
        <v>#DIV/0!</v>
      </c>
      <c r="T88" s="112" t="e">
        <f t="shared" si="74"/>
        <v>#DIV/0!</v>
      </c>
    </row>
    <row r="89" spans="2:20" x14ac:dyDescent="0.2">
      <c r="B89" s="111" t="s">
        <v>172</v>
      </c>
      <c r="C89" s="141">
        <v>0</v>
      </c>
      <c r="D89" s="141">
        <v>0</v>
      </c>
      <c r="E89" s="141">
        <v>0</v>
      </c>
      <c r="F89" s="112">
        <f>F46</f>
        <v>0</v>
      </c>
      <c r="G89" s="112" t="e">
        <f t="shared" ref="G89:T89" si="75">G21</f>
        <v>#DIV/0!</v>
      </c>
      <c r="H89" s="112" t="e">
        <f t="shared" si="75"/>
        <v>#DIV/0!</v>
      </c>
      <c r="I89" s="112" t="e">
        <f t="shared" si="75"/>
        <v>#DIV/0!</v>
      </c>
      <c r="J89" s="112" t="e">
        <f t="shared" si="75"/>
        <v>#DIV/0!</v>
      </c>
      <c r="K89" s="112" t="e">
        <f t="shared" si="75"/>
        <v>#DIV/0!</v>
      </c>
      <c r="L89" s="112" t="e">
        <f t="shared" si="75"/>
        <v>#DIV/0!</v>
      </c>
      <c r="M89" s="112" t="e">
        <f t="shared" si="75"/>
        <v>#DIV/0!</v>
      </c>
      <c r="N89" s="112" t="e">
        <f t="shared" si="75"/>
        <v>#DIV/0!</v>
      </c>
      <c r="O89" s="112" t="e">
        <f t="shared" si="75"/>
        <v>#DIV/0!</v>
      </c>
      <c r="P89" s="112" t="e">
        <f t="shared" si="75"/>
        <v>#DIV/0!</v>
      </c>
      <c r="Q89" s="112" t="e">
        <f t="shared" si="75"/>
        <v>#DIV/0!</v>
      </c>
      <c r="R89" s="112" t="e">
        <f t="shared" si="75"/>
        <v>#DIV/0!</v>
      </c>
      <c r="S89" s="112" t="e">
        <f t="shared" si="75"/>
        <v>#DIV/0!</v>
      </c>
      <c r="T89" s="112" t="e">
        <f t="shared" si="75"/>
        <v>#DIV/0!</v>
      </c>
    </row>
    <row r="90" spans="2:20" x14ac:dyDescent="0.2">
      <c r="B90" s="111" t="s">
        <v>173</v>
      </c>
      <c r="C90" s="141">
        <v>0</v>
      </c>
      <c r="D90" s="141">
        <v>0</v>
      </c>
      <c r="E90" s="141">
        <v>0</v>
      </c>
      <c r="F90" s="112">
        <f>F19</f>
        <v>0</v>
      </c>
      <c r="G90" s="112">
        <f t="shared" ref="G90:T90" si="76">G22</f>
        <v>0</v>
      </c>
      <c r="H90" s="112">
        <f t="shared" si="76"/>
        <v>0</v>
      </c>
      <c r="I90" s="112">
        <f t="shared" si="76"/>
        <v>0</v>
      </c>
      <c r="J90" s="112">
        <f t="shared" si="76"/>
        <v>0</v>
      </c>
      <c r="K90" s="112">
        <f t="shared" si="76"/>
        <v>0</v>
      </c>
      <c r="L90" s="112">
        <f t="shared" si="76"/>
        <v>0</v>
      </c>
      <c r="M90" s="112">
        <f t="shared" si="76"/>
        <v>0</v>
      </c>
      <c r="N90" s="112">
        <f t="shared" si="76"/>
        <v>0</v>
      </c>
      <c r="O90" s="112">
        <f t="shared" si="76"/>
        <v>0</v>
      </c>
      <c r="P90" s="112">
        <f t="shared" si="76"/>
        <v>0</v>
      </c>
      <c r="Q90" s="112">
        <f t="shared" si="76"/>
        <v>0</v>
      </c>
      <c r="R90" s="112">
        <f t="shared" si="76"/>
        <v>0</v>
      </c>
      <c r="S90" s="112">
        <f t="shared" si="76"/>
        <v>0</v>
      </c>
      <c r="T90" s="112">
        <f t="shared" si="76"/>
        <v>0</v>
      </c>
    </row>
    <row r="92" spans="2:20" x14ac:dyDescent="0.2">
      <c r="B92" s="111" t="s">
        <v>174</v>
      </c>
      <c r="C92" s="141">
        <v>0</v>
      </c>
      <c r="D92" s="141">
        <v>0</v>
      </c>
      <c r="E92" s="141">
        <v>0</v>
      </c>
      <c r="F92" s="152" t="e">
        <f>F85+F$88+F$89-F$90</f>
        <v>#DIV/0!</v>
      </c>
      <c r="G92" s="152" t="e">
        <f t="shared" ref="G92:T92" si="77">G85+G$88+G$89-G$90</f>
        <v>#DIV/0!</v>
      </c>
      <c r="H92" s="152" t="e">
        <f t="shared" si="77"/>
        <v>#DIV/0!</v>
      </c>
      <c r="I92" s="152" t="e">
        <f t="shared" si="77"/>
        <v>#DIV/0!</v>
      </c>
      <c r="J92" s="152" t="e">
        <f t="shared" si="77"/>
        <v>#DIV/0!</v>
      </c>
      <c r="K92" s="152" t="e">
        <f t="shared" si="77"/>
        <v>#DIV/0!</v>
      </c>
      <c r="L92" s="152" t="e">
        <f t="shared" si="77"/>
        <v>#DIV/0!</v>
      </c>
      <c r="M92" s="152" t="e">
        <f t="shared" si="77"/>
        <v>#DIV/0!</v>
      </c>
      <c r="N92" s="152" t="e">
        <f t="shared" si="77"/>
        <v>#DIV/0!</v>
      </c>
      <c r="O92" s="152" t="e">
        <f t="shared" si="77"/>
        <v>#DIV/0!</v>
      </c>
      <c r="P92" s="152" t="e">
        <f t="shared" si="77"/>
        <v>#DIV/0!</v>
      </c>
      <c r="Q92" s="152" t="e">
        <f t="shared" si="77"/>
        <v>#DIV/0!</v>
      </c>
      <c r="R92" s="152" t="e">
        <f t="shared" si="77"/>
        <v>#DIV/0!</v>
      </c>
      <c r="S92" s="152" t="e">
        <f t="shared" si="77"/>
        <v>#DIV/0!</v>
      </c>
      <c r="T92" s="152" t="e">
        <f t="shared" si="77"/>
        <v>#DIV/0!</v>
      </c>
    </row>
    <row r="93" spans="2:20" x14ac:dyDescent="0.2">
      <c r="B93" s="111" t="s">
        <v>175</v>
      </c>
      <c r="C93" s="141">
        <v>0</v>
      </c>
      <c r="D93" s="141">
        <v>0</v>
      </c>
      <c r="E93" s="141">
        <v>0</v>
      </c>
      <c r="F93" s="152" t="e">
        <f t="shared" ref="F93:T93" si="78">F86+F$88+F$89-F$90</f>
        <v>#DIV/0!</v>
      </c>
      <c r="G93" s="152" t="e">
        <f t="shared" si="78"/>
        <v>#DIV/0!</v>
      </c>
      <c r="H93" s="152" t="e">
        <f t="shared" si="78"/>
        <v>#DIV/0!</v>
      </c>
      <c r="I93" s="152" t="e">
        <f t="shared" si="78"/>
        <v>#DIV/0!</v>
      </c>
      <c r="J93" s="152" t="e">
        <f t="shared" si="78"/>
        <v>#DIV/0!</v>
      </c>
      <c r="K93" s="152" t="e">
        <f t="shared" si="78"/>
        <v>#DIV/0!</v>
      </c>
      <c r="L93" s="152" t="e">
        <f t="shared" si="78"/>
        <v>#DIV/0!</v>
      </c>
      <c r="M93" s="152" t="e">
        <f t="shared" si="78"/>
        <v>#DIV/0!</v>
      </c>
      <c r="N93" s="152" t="e">
        <f t="shared" si="78"/>
        <v>#DIV/0!</v>
      </c>
      <c r="O93" s="152" t="e">
        <f t="shared" si="78"/>
        <v>#DIV/0!</v>
      </c>
      <c r="P93" s="152" t="e">
        <f t="shared" si="78"/>
        <v>#DIV/0!</v>
      </c>
      <c r="Q93" s="152" t="e">
        <f t="shared" si="78"/>
        <v>#DIV/0!</v>
      </c>
      <c r="R93" s="152" t="e">
        <f t="shared" si="78"/>
        <v>#DIV/0!</v>
      </c>
      <c r="S93" s="152" t="e">
        <f t="shared" si="78"/>
        <v>#DIV/0!</v>
      </c>
      <c r="T93" s="152" t="e">
        <f t="shared" si="78"/>
        <v>#DIV/0!</v>
      </c>
    </row>
    <row r="94" spans="2:20" x14ac:dyDescent="0.2">
      <c r="B94" s="111" t="s">
        <v>176</v>
      </c>
      <c r="C94" s="141">
        <v>0</v>
      </c>
      <c r="D94" s="141">
        <v>0</v>
      </c>
      <c r="E94" s="141">
        <v>0</v>
      </c>
      <c r="F94" s="152" t="e">
        <f t="shared" ref="F94:T94" si="79">F87+F$88+F$89-F$90</f>
        <v>#DIV/0!</v>
      </c>
      <c r="G94" s="152" t="e">
        <f t="shared" si="79"/>
        <v>#DIV/0!</v>
      </c>
      <c r="H94" s="152" t="e">
        <f t="shared" si="79"/>
        <v>#DIV/0!</v>
      </c>
      <c r="I94" s="152" t="e">
        <f t="shared" si="79"/>
        <v>#DIV/0!</v>
      </c>
      <c r="J94" s="152" t="e">
        <f t="shared" si="79"/>
        <v>#DIV/0!</v>
      </c>
      <c r="K94" s="152" t="e">
        <f t="shared" si="79"/>
        <v>#DIV/0!</v>
      </c>
      <c r="L94" s="152" t="e">
        <f t="shared" si="79"/>
        <v>#DIV/0!</v>
      </c>
      <c r="M94" s="152" t="e">
        <f t="shared" si="79"/>
        <v>#DIV/0!</v>
      </c>
      <c r="N94" s="152" t="e">
        <f t="shared" si="79"/>
        <v>#DIV/0!</v>
      </c>
      <c r="O94" s="152" t="e">
        <f t="shared" si="79"/>
        <v>#DIV/0!</v>
      </c>
      <c r="P94" s="152" t="e">
        <f t="shared" si="79"/>
        <v>#DIV/0!</v>
      </c>
      <c r="Q94" s="152" t="e">
        <f t="shared" si="79"/>
        <v>#DIV/0!</v>
      </c>
      <c r="R94" s="152" t="e">
        <f t="shared" si="79"/>
        <v>#DIV/0!</v>
      </c>
      <c r="S94" s="152" t="e">
        <f t="shared" si="79"/>
        <v>#DIV/0!</v>
      </c>
      <c r="T94" s="152" t="e">
        <f t="shared" si="79"/>
        <v>#DIV/0!</v>
      </c>
    </row>
    <row r="96" spans="2:20" x14ac:dyDescent="0.2">
      <c r="C96" s="116" t="s">
        <v>177</v>
      </c>
    </row>
    <row r="97" spans="2:3" x14ac:dyDescent="0.2">
      <c r="B97" s="111" t="s">
        <v>174</v>
      </c>
      <c r="C97" s="153" t="e">
        <f>C92+NPV(discountrate,D92:T92)</f>
        <v>#DIV/0!</v>
      </c>
    </row>
    <row r="98" spans="2:3" x14ac:dyDescent="0.2">
      <c r="B98" s="111" t="s">
        <v>175</v>
      </c>
      <c r="C98" s="153" t="e">
        <f>C93+NPV(discountrate_low,D93:T93)</f>
        <v>#DIV/0!</v>
      </c>
    </row>
    <row r="99" spans="2:3" x14ac:dyDescent="0.2">
      <c r="B99" s="111" t="s">
        <v>176</v>
      </c>
      <c r="C99" s="153" t="e">
        <f>C94+NPV(discountrate_high,D94:T94)</f>
        <v>#DIV/0!</v>
      </c>
    </row>
  </sheetData>
  <pageMargins left="0.7" right="0.7" top="0.75" bottom="0.75" header="0.3" footer="0.3"/>
  <pageSetup paperSize="9" scale="2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S2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4" sqref="L34"/>
    </sheetView>
  </sheetViews>
  <sheetFormatPr defaultRowHeight="15" x14ac:dyDescent="0.25"/>
  <cols>
    <col min="1" max="1" width="9.140625" style="146"/>
    <col min="2" max="2" width="35.28515625" style="146" customWidth="1"/>
    <col min="3" max="3" width="17.28515625" style="146" customWidth="1"/>
    <col min="4" max="4" width="9.140625" style="146"/>
    <col min="5" max="5" width="11.7109375" style="146" customWidth="1"/>
    <col min="6" max="16384" width="9.140625" style="146"/>
  </cols>
  <sheetData>
    <row r="2" spans="2:19" x14ac:dyDescent="0.25">
      <c r="B2" s="7" t="s">
        <v>18</v>
      </c>
      <c r="C2" s="7" t="s">
        <v>40</v>
      </c>
      <c r="D2" s="7" t="s">
        <v>19</v>
      </c>
      <c r="E2" s="203" t="s">
        <v>20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2:19" ht="15.75" thickBot="1" x14ac:dyDescent="0.3">
      <c r="B3" s="8" t="s">
        <v>21</v>
      </c>
      <c r="C3" s="8"/>
      <c r="D3" s="8"/>
      <c r="E3" s="28" t="s">
        <v>22</v>
      </c>
      <c r="F3" s="28" t="s">
        <v>23</v>
      </c>
      <c r="G3" s="28" t="s">
        <v>24</v>
      </c>
      <c r="H3" s="28" t="s">
        <v>25</v>
      </c>
      <c r="I3" s="28" t="s">
        <v>26</v>
      </c>
      <c r="J3" s="28" t="s">
        <v>27</v>
      </c>
      <c r="K3" s="28" t="s">
        <v>28</v>
      </c>
      <c r="L3" s="28" t="s">
        <v>29</v>
      </c>
      <c r="M3" s="28" t="s">
        <v>30</v>
      </c>
      <c r="N3" s="28" t="s">
        <v>31</v>
      </c>
      <c r="O3" s="28" t="s">
        <v>32</v>
      </c>
      <c r="P3" s="28" t="s">
        <v>33</v>
      </c>
      <c r="Q3" s="28" t="s">
        <v>37</v>
      </c>
      <c r="R3" s="28" t="s">
        <v>38</v>
      </c>
      <c r="S3" s="28" t="s">
        <v>39</v>
      </c>
    </row>
    <row r="4" spans="2:19" ht="15.75" thickBot="1" x14ac:dyDescent="0.3">
      <c r="B4" s="23" t="s">
        <v>47</v>
      </c>
      <c r="C4" s="23"/>
      <c r="D4" s="23"/>
      <c r="E4" s="29">
        <f>'Material Flows'!E5</f>
        <v>1900</v>
      </c>
      <c r="F4" s="29">
        <f>E4+1</f>
        <v>1901</v>
      </c>
      <c r="G4" s="29">
        <f t="shared" ref="G4:S4" si="0">F4+1</f>
        <v>1902</v>
      </c>
      <c r="H4" s="29">
        <f t="shared" si="0"/>
        <v>1903</v>
      </c>
      <c r="I4" s="29">
        <f t="shared" si="0"/>
        <v>1904</v>
      </c>
      <c r="J4" s="29">
        <f t="shared" si="0"/>
        <v>1905</v>
      </c>
      <c r="K4" s="29">
        <f t="shared" si="0"/>
        <v>1906</v>
      </c>
      <c r="L4" s="29">
        <f t="shared" si="0"/>
        <v>1907</v>
      </c>
      <c r="M4" s="29">
        <f t="shared" si="0"/>
        <v>1908</v>
      </c>
      <c r="N4" s="29">
        <f t="shared" si="0"/>
        <v>1909</v>
      </c>
      <c r="O4" s="29">
        <f t="shared" si="0"/>
        <v>1910</v>
      </c>
      <c r="P4" s="29">
        <f t="shared" si="0"/>
        <v>1911</v>
      </c>
      <c r="Q4" s="29">
        <f t="shared" si="0"/>
        <v>1912</v>
      </c>
      <c r="R4" s="29">
        <f t="shared" si="0"/>
        <v>1913</v>
      </c>
      <c r="S4" s="29">
        <f t="shared" si="0"/>
        <v>1914</v>
      </c>
    </row>
    <row r="5" spans="2:19" ht="15.75" thickBot="1" x14ac:dyDescent="0.3">
      <c r="B5" s="23" t="s">
        <v>50</v>
      </c>
      <c r="C5" s="23"/>
      <c r="D5" s="23"/>
      <c r="E5" s="29" t="str">
        <f>(E$4-1)&amp;"-"&amp;(E$4-2000)</f>
        <v>1899--100</v>
      </c>
      <c r="F5" s="29" t="str">
        <f t="shared" ref="F5:S5" si="1">(F$4-1)&amp;"-"&amp;(F$4-2000)</f>
        <v>1900--99</v>
      </c>
      <c r="G5" s="29" t="str">
        <f t="shared" si="1"/>
        <v>1901--98</v>
      </c>
      <c r="H5" s="29" t="str">
        <f t="shared" si="1"/>
        <v>1902--97</v>
      </c>
      <c r="I5" s="29" t="str">
        <f t="shared" si="1"/>
        <v>1903--96</v>
      </c>
      <c r="J5" s="29" t="str">
        <f t="shared" si="1"/>
        <v>1904--95</v>
      </c>
      <c r="K5" s="29" t="str">
        <f t="shared" si="1"/>
        <v>1905--94</v>
      </c>
      <c r="L5" s="29" t="str">
        <f t="shared" si="1"/>
        <v>1906--93</v>
      </c>
      <c r="M5" s="29" t="str">
        <f t="shared" si="1"/>
        <v>1907--92</v>
      </c>
      <c r="N5" s="29" t="str">
        <f t="shared" si="1"/>
        <v>1908--91</v>
      </c>
      <c r="O5" s="29" t="str">
        <f t="shared" si="1"/>
        <v>1909--90</v>
      </c>
      <c r="P5" s="29" t="str">
        <f t="shared" si="1"/>
        <v>1910--89</v>
      </c>
      <c r="Q5" s="29" t="str">
        <f t="shared" si="1"/>
        <v>1911--88</v>
      </c>
      <c r="R5" s="29" t="str">
        <f t="shared" si="1"/>
        <v>1912--87</v>
      </c>
      <c r="S5" s="29" t="str">
        <f t="shared" si="1"/>
        <v>1913--86</v>
      </c>
    </row>
    <row r="6" spans="2:19" ht="24" x14ac:dyDescent="0.25">
      <c r="B6" s="147" t="s">
        <v>164</v>
      </c>
      <c r="C6" s="148"/>
      <c r="D6" s="148" t="s">
        <v>162</v>
      </c>
      <c r="E6" s="149">
        <f>IFERROR(Analysis!F35/'Material Flows'!E15,0)</f>
        <v>0</v>
      </c>
      <c r="F6" s="149">
        <f>IFERROR(Analysis!G35/'Material Flows'!F15,0)</f>
        <v>0</v>
      </c>
      <c r="G6" s="149">
        <f>IFERROR(Analysis!H35/'Material Flows'!G15,0)</f>
        <v>0</v>
      </c>
      <c r="H6" s="149">
        <f>IFERROR(Analysis!I35/'Material Flows'!H15,0)</f>
        <v>0</v>
      </c>
      <c r="I6" s="149">
        <f>IFERROR(Analysis!J35/'Material Flows'!I15,0)</f>
        <v>0</v>
      </c>
      <c r="J6" s="149">
        <f>IFERROR(Analysis!K35/'Material Flows'!J15,0)</f>
        <v>0</v>
      </c>
      <c r="K6" s="149">
        <f>IFERROR(Analysis!L35/'Material Flows'!K15,0)</f>
        <v>0</v>
      </c>
      <c r="L6" s="149">
        <f>IFERROR(Analysis!M35/'Material Flows'!L15,0)</f>
        <v>0</v>
      </c>
      <c r="M6" s="149">
        <f>IFERROR(Analysis!N35/'Material Flows'!M15,0)</f>
        <v>0</v>
      </c>
      <c r="N6" s="149">
        <f>IFERROR(Analysis!O35/'Material Flows'!N15,0)</f>
        <v>0</v>
      </c>
      <c r="O6" s="149">
        <f>IFERROR(Analysis!P35/'Material Flows'!O15,0)</f>
        <v>0</v>
      </c>
      <c r="P6" s="149">
        <f>IFERROR(Analysis!Q35/'Material Flows'!P15,0)</f>
        <v>0</v>
      </c>
      <c r="Q6" s="149">
        <f>IFERROR(Analysis!R35/'Material Flows'!Q15,0)</f>
        <v>0</v>
      </c>
      <c r="R6" s="149">
        <f>IFERROR(Analysis!S35/'Material Flows'!R15,0)</f>
        <v>0</v>
      </c>
      <c r="S6" s="149">
        <f>IFERROR(Analysis!T35/'Material Flows'!S15,0)</f>
        <v>0</v>
      </c>
    </row>
    <row r="7" spans="2:19" x14ac:dyDescent="0.25">
      <c r="B7" s="147" t="s">
        <v>163</v>
      </c>
      <c r="C7" s="148"/>
      <c r="D7" s="148" t="s">
        <v>162</v>
      </c>
      <c r="E7" s="149" t="e">
        <f>Analysis!F46/'Material Flows'!E24</f>
        <v>#DIV/0!</v>
      </c>
      <c r="F7" s="149" t="e">
        <f>Analysis!G46/'Material Flows'!F24</f>
        <v>#DIV/0!</v>
      </c>
      <c r="G7" s="149" t="e">
        <f>Analysis!H46/'Material Flows'!G24</f>
        <v>#DIV/0!</v>
      </c>
      <c r="H7" s="149" t="e">
        <f>Analysis!I46/'Material Flows'!H24</f>
        <v>#DIV/0!</v>
      </c>
      <c r="I7" s="149" t="e">
        <f>Analysis!J46/'Material Flows'!I24</f>
        <v>#DIV/0!</v>
      </c>
      <c r="J7" s="149" t="e">
        <f>Analysis!K46/'Material Flows'!J24</f>
        <v>#DIV/0!</v>
      </c>
      <c r="K7" s="149" t="e">
        <f>Analysis!L46/'Material Flows'!K24</f>
        <v>#DIV/0!</v>
      </c>
      <c r="L7" s="149" t="e">
        <f>Analysis!M46/'Material Flows'!L24</f>
        <v>#DIV/0!</v>
      </c>
      <c r="M7" s="149" t="e">
        <f>Analysis!N46/'Material Flows'!M24</f>
        <v>#DIV/0!</v>
      </c>
      <c r="N7" s="149" t="e">
        <f>Analysis!O46/'Material Flows'!N24</f>
        <v>#DIV/0!</v>
      </c>
      <c r="O7" s="149" t="e">
        <f>Analysis!P46/'Material Flows'!O24</f>
        <v>#DIV/0!</v>
      </c>
      <c r="P7" s="149" t="e">
        <f>Analysis!Q46/'Material Flows'!P24</f>
        <v>#DIV/0!</v>
      </c>
      <c r="Q7" s="149" t="e">
        <f>Analysis!R46/'Material Flows'!Q24</f>
        <v>#DIV/0!</v>
      </c>
      <c r="R7" s="149" t="e">
        <f>Analysis!S46/'Material Flows'!R24</f>
        <v>#DIV/0!</v>
      </c>
      <c r="S7" s="149" t="e">
        <f>Analysis!T46/'Material Flows'!S24</f>
        <v>#DIV/0!</v>
      </c>
    </row>
    <row r="8" spans="2:19" x14ac:dyDescent="0.25">
      <c r="B8" s="147" t="s">
        <v>154</v>
      </c>
      <c r="C8" s="148"/>
      <c r="D8" s="148" t="s">
        <v>162</v>
      </c>
      <c r="E8" s="149" t="e">
        <f>Analysis!F54/('Material Flows'!E$24+'Material Flows'!E$17)</f>
        <v>#DIV/0!</v>
      </c>
      <c r="F8" s="149" t="e">
        <f>Analysis!G54/('Material Flows'!F$24+'Material Flows'!F$17)</f>
        <v>#DIV/0!</v>
      </c>
      <c r="G8" s="149" t="e">
        <f>Analysis!H54/('Material Flows'!G$24+'Material Flows'!G$17)</f>
        <v>#DIV/0!</v>
      </c>
      <c r="H8" s="149" t="e">
        <f>Analysis!I54/('Material Flows'!H$24+'Material Flows'!H$17)</f>
        <v>#DIV/0!</v>
      </c>
      <c r="I8" s="149" t="e">
        <f>Analysis!J54/('Material Flows'!I$24+'Material Flows'!I$17)</f>
        <v>#DIV/0!</v>
      </c>
      <c r="J8" s="149" t="e">
        <f>Analysis!K54/('Material Flows'!J$24+'Material Flows'!J$17)</f>
        <v>#DIV/0!</v>
      </c>
      <c r="K8" s="149" t="e">
        <f>Analysis!L54/('Material Flows'!K$24+'Material Flows'!K$17)</f>
        <v>#DIV/0!</v>
      </c>
      <c r="L8" s="149" t="e">
        <f>Analysis!M54/('Material Flows'!L$24+'Material Flows'!L$17)</f>
        <v>#DIV/0!</v>
      </c>
      <c r="M8" s="149" t="e">
        <f>Analysis!N54/('Material Flows'!M$24+'Material Flows'!M$17)</f>
        <v>#DIV/0!</v>
      </c>
      <c r="N8" s="149" t="e">
        <f>Analysis!O54/('Material Flows'!N$24+'Material Flows'!N$17)</f>
        <v>#DIV/0!</v>
      </c>
      <c r="O8" s="149" t="e">
        <f>Analysis!P54/('Material Flows'!O$24+'Material Flows'!O$17)</f>
        <v>#DIV/0!</v>
      </c>
      <c r="P8" s="149" t="e">
        <f>Analysis!Q54/('Material Flows'!P$24+'Material Flows'!P$17)</f>
        <v>#DIV/0!</v>
      </c>
      <c r="Q8" s="149" t="e">
        <f>Analysis!R54/('Material Flows'!Q$24+'Material Flows'!Q$17)</f>
        <v>#DIV/0!</v>
      </c>
      <c r="R8" s="149" t="e">
        <f>Analysis!S54/('Material Flows'!R$24+'Material Flows'!R$17)</f>
        <v>#DIV/0!</v>
      </c>
      <c r="S8" s="149" t="e">
        <f>Analysis!T54/('Material Flows'!S$24+'Material Flows'!S$17)</f>
        <v>#DIV/0!</v>
      </c>
    </row>
    <row r="9" spans="2:19" x14ac:dyDescent="0.25">
      <c r="B9" s="147" t="s">
        <v>165</v>
      </c>
      <c r="C9" s="148"/>
      <c r="D9" s="148" t="s">
        <v>162</v>
      </c>
      <c r="E9" s="149" t="e">
        <f>Analysis!F55/('Material Flows'!E$24+'Material Flows'!E$17)</f>
        <v>#DIV/0!</v>
      </c>
      <c r="F9" s="149" t="e">
        <f>Analysis!G55/('Material Flows'!F$24+'Material Flows'!F$17)</f>
        <v>#DIV/0!</v>
      </c>
      <c r="G9" s="149" t="e">
        <f>Analysis!H55/('Material Flows'!G$24+'Material Flows'!G$17)</f>
        <v>#DIV/0!</v>
      </c>
      <c r="H9" s="149" t="e">
        <f>Analysis!I55/('Material Flows'!H$24+'Material Flows'!H$17)</f>
        <v>#DIV/0!</v>
      </c>
      <c r="I9" s="149" t="e">
        <f>Analysis!J55/('Material Flows'!I$24+'Material Flows'!I$17)</f>
        <v>#DIV/0!</v>
      </c>
      <c r="J9" s="149" t="e">
        <f>Analysis!K55/('Material Flows'!J$24+'Material Flows'!J$17)</f>
        <v>#DIV/0!</v>
      </c>
      <c r="K9" s="149" t="e">
        <f>Analysis!L55/('Material Flows'!K$24+'Material Flows'!K$17)</f>
        <v>#DIV/0!</v>
      </c>
      <c r="L9" s="149" t="e">
        <f>Analysis!M55/('Material Flows'!L$24+'Material Flows'!L$17)</f>
        <v>#DIV/0!</v>
      </c>
      <c r="M9" s="149" t="e">
        <f>Analysis!N55/('Material Flows'!M$24+'Material Flows'!M$17)</f>
        <v>#DIV/0!</v>
      </c>
      <c r="N9" s="149" t="e">
        <f>Analysis!O55/('Material Flows'!N$24+'Material Flows'!N$17)</f>
        <v>#DIV/0!</v>
      </c>
      <c r="O9" s="149" t="e">
        <f>Analysis!P55/('Material Flows'!O$24+'Material Flows'!O$17)</f>
        <v>#DIV/0!</v>
      </c>
      <c r="P9" s="149" t="e">
        <f>Analysis!Q55/('Material Flows'!P$24+'Material Flows'!P$17)</f>
        <v>#DIV/0!</v>
      </c>
      <c r="Q9" s="149" t="e">
        <f>Analysis!R55/('Material Flows'!Q$24+'Material Flows'!Q$17)</f>
        <v>#DIV/0!</v>
      </c>
      <c r="R9" s="149" t="e">
        <f>Analysis!S55/('Material Flows'!R$24+'Material Flows'!R$17)</f>
        <v>#DIV/0!</v>
      </c>
      <c r="S9" s="149" t="e">
        <f>Analysis!T55/('Material Flows'!S$24+'Material Flows'!S$17)</f>
        <v>#DIV/0!</v>
      </c>
    </row>
    <row r="10" spans="2:19" x14ac:dyDescent="0.25">
      <c r="B10" s="147" t="s">
        <v>166</v>
      </c>
      <c r="C10" s="148"/>
      <c r="D10" s="148" t="s">
        <v>162</v>
      </c>
      <c r="E10" s="149" t="e">
        <f>Analysis!F56/('Material Flows'!E$24+'Material Flows'!E$17)</f>
        <v>#DIV/0!</v>
      </c>
      <c r="F10" s="149" t="e">
        <f>Analysis!G56/('Material Flows'!F$24+'Material Flows'!F$17)</f>
        <v>#DIV/0!</v>
      </c>
      <c r="G10" s="149" t="e">
        <f>Analysis!H56/('Material Flows'!G$24+'Material Flows'!G$17)</f>
        <v>#DIV/0!</v>
      </c>
      <c r="H10" s="149" t="e">
        <f>Analysis!I56/('Material Flows'!H$24+'Material Flows'!H$17)</f>
        <v>#DIV/0!</v>
      </c>
      <c r="I10" s="149" t="e">
        <f>Analysis!J56/('Material Flows'!I$24+'Material Flows'!I$17)</f>
        <v>#DIV/0!</v>
      </c>
      <c r="J10" s="149" t="e">
        <f>Analysis!K56/('Material Flows'!J$24+'Material Flows'!J$17)</f>
        <v>#DIV/0!</v>
      </c>
      <c r="K10" s="149" t="e">
        <f>Analysis!L56/('Material Flows'!K$24+'Material Flows'!K$17)</f>
        <v>#DIV/0!</v>
      </c>
      <c r="L10" s="149" t="e">
        <f>Analysis!M56/('Material Flows'!L$24+'Material Flows'!L$17)</f>
        <v>#DIV/0!</v>
      </c>
      <c r="M10" s="149" t="e">
        <f>Analysis!N56/('Material Flows'!M$24+'Material Flows'!M$17)</f>
        <v>#DIV/0!</v>
      </c>
      <c r="N10" s="149" t="e">
        <f>Analysis!O56/('Material Flows'!N$24+'Material Flows'!N$17)</f>
        <v>#DIV/0!</v>
      </c>
      <c r="O10" s="149" t="e">
        <f>Analysis!P56/('Material Flows'!O$24+'Material Flows'!O$17)</f>
        <v>#DIV/0!</v>
      </c>
      <c r="P10" s="149" t="e">
        <f>Analysis!Q56/('Material Flows'!P$24+'Material Flows'!P$17)</f>
        <v>#DIV/0!</v>
      </c>
      <c r="Q10" s="149" t="e">
        <f>Analysis!R56/('Material Flows'!Q$24+'Material Flows'!Q$17)</f>
        <v>#DIV/0!</v>
      </c>
      <c r="R10" s="149" t="e">
        <f>Analysis!S56/('Material Flows'!R$24+'Material Flows'!R$17)</f>
        <v>#DIV/0!</v>
      </c>
      <c r="S10" s="149" t="e">
        <f>Analysis!T56/('Material Flows'!S$24+'Material Flows'!S$17)</f>
        <v>#DIV/0!</v>
      </c>
    </row>
    <row r="11" spans="2:19" ht="24" x14ac:dyDescent="0.25">
      <c r="B11" s="147" t="s">
        <v>167</v>
      </c>
      <c r="C11" s="148"/>
      <c r="D11" s="148" t="s">
        <v>162</v>
      </c>
      <c r="E11" s="150" t="e">
        <f>(Analysis!F50+Analysis!F$35+Analysis!F$49-Analysis!F$12)/'Material Flows'!E$34</f>
        <v>#DIV/0!</v>
      </c>
      <c r="F11" s="150" t="e">
        <f>(Analysis!G50+Analysis!G$35+Analysis!G$49-Analysis!G$12)/'Material Flows'!F$34</f>
        <v>#DIV/0!</v>
      </c>
      <c r="G11" s="150" t="e">
        <f>(Analysis!H50+Analysis!H$35+Analysis!H$49-Analysis!H$12)/'Material Flows'!G$34</f>
        <v>#DIV/0!</v>
      </c>
      <c r="H11" s="150" t="e">
        <f>(Analysis!I50+Analysis!I$35+Analysis!I$49-Analysis!I$12)/'Material Flows'!H$34</f>
        <v>#DIV/0!</v>
      </c>
      <c r="I11" s="150" t="e">
        <f>(Analysis!J50+Analysis!J$35+Analysis!J$49-Analysis!J$12)/'Material Flows'!I$34</f>
        <v>#DIV/0!</v>
      </c>
      <c r="J11" s="150" t="e">
        <f>(Analysis!K50+Analysis!K$35+Analysis!K$49-Analysis!K$12)/'Material Flows'!J$34</f>
        <v>#DIV/0!</v>
      </c>
      <c r="K11" s="150" t="e">
        <f>(Analysis!L50+Analysis!L$35+Analysis!L$49-Analysis!L$12)/'Material Flows'!K$34</f>
        <v>#DIV/0!</v>
      </c>
      <c r="L11" s="150" t="e">
        <f>(Analysis!M50+Analysis!M$35+Analysis!M$49-Analysis!M$12)/'Material Flows'!L$34</f>
        <v>#DIV/0!</v>
      </c>
      <c r="M11" s="150" t="e">
        <f>(Analysis!N50+Analysis!N$35+Analysis!N$49-Analysis!N$12)/'Material Flows'!M$34</f>
        <v>#DIV/0!</v>
      </c>
      <c r="N11" s="150" t="e">
        <f>(Analysis!O50+Analysis!O$35+Analysis!O$49-Analysis!O$12)/'Material Flows'!N$34</f>
        <v>#DIV/0!</v>
      </c>
      <c r="O11" s="150" t="e">
        <f>(Analysis!P50+Analysis!P$35+Analysis!P$49-Analysis!P$12)/'Material Flows'!O$34</f>
        <v>#DIV/0!</v>
      </c>
      <c r="P11" s="150" t="e">
        <f>(Analysis!Q50+Analysis!Q$35+Analysis!Q$49-Analysis!Q$12)/'Material Flows'!P$34</f>
        <v>#DIV/0!</v>
      </c>
      <c r="Q11" s="150" t="e">
        <f>(Analysis!R50+Analysis!R$35+Analysis!R$49-Analysis!R$12)/'Material Flows'!Q$34</f>
        <v>#DIV/0!</v>
      </c>
      <c r="R11" s="150" t="e">
        <f>(Analysis!S50+Analysis!S$35+Analysis!S$49-Analysis!S$12)/'Material Flows'!R$34</f>
        <v>#DIV/0!</v>
      </c>
      <c r="S11" s="150" t="e">
        <f>(Analysis!T50+Analysis!T$35+Analysis!T$49-Analysis!T$12)/'Material Flows'!S$34</f>
        <v>#DIV/0!</v>
      </c>
    </row>
    <row r="12" spans="2:19" ht="24" x14ac:dyDescent="0.25">
      <c r="B12" s="147" t="s">
        <v>168</v>
      </c>
      <c r="C12" s="148"/>
      <c r="D12" s="148" t="s">
        <v>162</v>
      </c>
      <c r="E12" s="150" t="e">
        <f>(Analysis!F51+Analysis!F$35+Analysis!F$49-Analysis!F$12)/'Material Flows'!E$34</f>
        <v>#DIV/0!</v>
      </c>
      <c r="F12" s="150" t="e">
        <f>(Analysis!G51+Analysis!G$35+Analysis!G$49-Analysis!G$12)/'Material Flows'!F$34</f>
        <v>#DIV/0!</v>
      </c>
      <c r="G12" s="150" t="e">
        <f>(Analysis!H51+Analysis!H$35+Analysis!H$49-Analysis!H$12)/'Material Flows'!G$34</f>
        <v>#DIV/0!</v>
      </c>
      <c r="H12" s="150" t="e">
        <f>(Analysis!I51+Analysis!I$35+Analysis!I$49-Analysis!I$12)/'Material Flows'!H$34</f>
        <v>#DIV/0!</v>
      </c>
      <c r="I12" s="150" t="e">
        <f>(Analysis!J51+Analysis!J$35+Analysis!J$49-Analysis!J$12)/'Material Flows'!I$34</f>
        <v>#DIV/0!</v>
      </c>
      <c r="J12" s="150" t="e">
        <f>(Analysis!K51+Analysis!K$35+Analysis!K$49-Analysis!K$12)/'Material Flows'!J$34</f>
        <v>#DIV/0!</v>
      </c>
      <c r="K12" s="150" t="e">
        <f>(Analysis!L51+Analysis!L$35+Analysis!L$49-Analysis!L$12)/'Material Flows'!K$34</f>
        <v>#DIV/0!</v>
      </c>
      <c r="L12" s="150" t="e">
        <f>(Analysis!M51+Analysis!M$35+Analysis!M$49-Analysis!M$12)/'Material Flows'!L$34</f>
        <v>#DIV/0!</v>
      </c>
      <c r="M12" s="150" t="e">
        <f>(Analysis!N51+Analysis!N$35+Analysis!N$49-Analysis!N$12)/'Material Flows'!M$34</f>
        <v>#DIV/0!</v>
      </c>
      <c r="N12" s="150" t="e">
        <f>(Analysis!O51+Analysis!O$35+Analysis!O$49-Analysis!O$12)/'Material Flows'!N$34</f>
        <v>#DIV/0!</v>
      </c>
      <c r="O12" s="150" t="e">
        <f>(Analysis!P51+Analysis!P$35+Analysis!P$49-Analysis!P$12)/'Material Flows'!O$34</f>
        <v>#DIV/0!</v>
      </c>
      <c r="P12" s="150" t="e">
        <f>(Analysis!Q51+Analysis!Q$35+Analysis!Q$49-Analysis!Q$12)/'Material Flows'!P$34</f>
        <v>#DIV/0!</v>
      </c>
      <c r="Q12" s="150" t="e">
        <f>(Analysis!R51+Analysis!R$35+Analysis!R$49-Analysis!R$12)/'Material Flows'!Q$34</f>
        <v>#DIV/0!</v>
      </c>
      <c r="R12" s="150" t="e">
        <f>(Analysis!S51+Analysis!S$35+Analysis!S$49-Analysis!S$12)/'Material Flows'!R$34</f>
        <v>#DIV/0!</v>
      </c>
      <c r="S12" s="150" t="e">
        <f>(Analysis!T51+Analysis!T$35+Analysis!T$49-Analysis!T$12)/'Material Flows'!S$34</f>
        <v>#DIV/0!</v>
      </c>
    </row>
    <row r="13" spans="2:19" ht="24" x14ac:dyDescent="0.25">
      <c r="B13" s="147" t="s">
        <v>169</v>
      </c>
      <c r="C13" s="148"/>
      <c r="D13" s="148" t="s">
        <v>162</v>
      </c>
      <c r="E13" s="150" t="e">
        <f>(Analysis!F52+Analysis!F$35+Analysis!F$49-Analysis!F$12)/'Material Flows'!E$34</f>
        <v>#DIV/0!</v>
      </c>
      <c r="F13" s="150" t="e">
        <f>(Analysis!G52+Analysis!G$35+Analysis!G$49-Analysis!G$12)/'Material Flows'!F$34</f>
        <v>#DIV/0!</v>
      </c>
      <c r="G13" s="150" t="e">
        <f>(Analysis!H52+Analysis!H$35+Analysis!H$49-Analysis!H$12)/'Material Flows'!G$34</f>
        <v>#DIV/0!</v>
      </c>
      <c r="H13" s="150" t="e">
        <f>(Analysis!I52+Analysis!I$35+Analysis!I$49-Analysis!I$12)/'Material Flows'!H$34</f>
        <v>#DIV/0!</v>
      </c>
      <c r="I13" s="150" t="e">
        <f>(Analysis!J52+Analysis!J$35+Analysis!J$49-Analysis!J$12)/'Material Flows'!I$34</f>
        <v>#DIV/0!</v>
      </c>
      <c r="J13" s="150" t="e">
        <f>(Analysis!K52+Analysis!K$35+Analysis!K$49-Analysis!K$12)/'Material Flows'!J$34</f>
        <v>#DIV/0!</v>
      </c>
      <c r="K13" s="150" t="e">
        <f>(Analysis!L52+Analysis!L$35+Analysis!L$49-Analysis!L$12)/'Material Flows'!K$34</f>
        <v>#DIV/0!</v>
      </c>
      <c r="L13" s="150" t="e">
        <f>(Analysis!M52+Analysis!M$35+Analysis!M$49-Analysis!M$12)/'Material Flows'!L$34</f>
        <v>#DIV/0!</v>
      </c>
      <c r="M13" s="150" t="e">
        <f>(Analysis!N52+Analysis!N$35+Analysis!N$49-Analysis!N$12)/'Material Flows'!M$34</f>
        <v>#DIV/0!</v>
      </c>
      <c r="N13" s="150" t="e">
        <f>(Analysis!O52+Analysis!O$35+Analysis!O$49-Analysis!O$12)/'Material Flows'!N$34</f>
        <v>#DIV/0!</v>
      </c>
      <c r="O13" s="150" t="e">
        <f>(Analysis!P52+Analysis!P$35+Analysis!P$49-Analysis!P$12)/'Material Flows'!O$34</f>
        <v>#DIV/0!</v>
      </c>
      <c r="P13" s="150" t="e">
        <f>(Analysis!Q52+Analysis!Q$35+Analysis!Q$49-Analysis!Q$12)/'Material Flows'!P$34</f>
        <v>#DIV/0!</v>
      </c>
      <c r="Q13" s="150" t="e">
        <f>(Analysis!R52+Analysis!R$35+Analysis!R$49-Analysis!R$12)/'Material Flows'!Q$34</f>
        <v>#DIV/0!</v>
      </c>
      <c r="R13" s="150" t="e">
        <f>(Analysis!S52+Analysis!S$35+Analysis!S$49-Analysis!S$12)/'Material Flows'!R$34</f>
        <v>#DIV/0!</v>
      </c>
      <c r="S13" s="150" t="e">
        <f>(Analysis!T52+Analysis!T$35+Analysis!T$49-Analysis!T$12)/'Material Flows'!S$34</f>
        <v>#DIV/0!</v>
      </c>
    </row>
    <row r="14" spans="2:19" ht="15.75" thickBot="1" x14ac:dyDescent="0.3">
      <c r="B14" s="156" t="s">
        <v>178</v>
      </c>
      <c r="C14" s="154"/>
      <c r="D14" s="154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</row>
    <row r="15" spans="2:19" ht="24.75" thickBot="1" x14ac:dyDescent="0.3">
      <c r="B15" s="147" t="s">
        <v>167</v>
      </c>
      <c r="C15" s="147"/>
      <c r="D15" s="147" t="s">
        <v>162</v>
      </c>
      <c r="E15" s="151" t="e">
        <f>Analysis!F92/'Material Flows'!E$34</f>
        <v>#DIV/0!</v>
      </c>
      <c r="F15" s="151" t="e">
        <f>Analysis!G92/'Material Flows'!F$34</f>
        <v>#DIV/0!</v>
      </c>
      <c r="G15" s="151" t="e">
        <f>Analysis!H92/'Material Flows'!G$34</f>
        <v>#DIV/0!</v>
      </c>
      <c r="H15" s="151" t="e">
        <f>Analysis!I92/'Material Flows'!H$34</f>
        <v>#DIV/0!</v>
      </c>
      <c r="I15" s="151" t="e">
        <f>Analysis!J92/'Material Flows'!I$34</f>
        <v>#DIV/0!</v>
      </c>
      <c r="J15" s="151" t="e">
        <f>Analysis!K92/'Material Flows'!J$34</f>
        <v>#DIV/0!</v>
      </c>
      <c r="K15" s="151" t="e">
        <f>Analysis!L92/'Material Flows'!K$34</f>
        <v>#DIV/0!</v>
      </c>
      <c r="L15" s="151" t="e">
        <f>Analysis!M92/'Material Flows'!L$34</f>
        <v>#DIV/0!</v>
      </c>
      <c r="M15" s="151" t="e">
        <f>Analysis!N92/'Material Flows'!M$34</f>
        <v>#DIV/0!</v>
      </c>
      <c r="N15" s="151" t="e">
        <f>Analysis!O92/'Material Flows'!N$34</f>
        <v>#DIV/0!</v>
      </c>
      <c r="O15" s="151" t="e">
        <f>Analysis!P92/'Material Flows'!O$34</f>
        <v>#DIV/0!</v>
      </c>
      <c r="P15" s="151" t="e">
        <f>Analysis!Q92/'Material Flows'!P$34</f>
        <v>#DIV/0!</v>
      </c>
      <c r="Q15" s="151" t="e">
        <f>Analysis!R92/'Material Flows'!Q$34</f>
        <v>#DIV/0!</v>
      </c>
      <c r="R15" s="151" t="e">
        <f>Analysis!S92/'Material Flows'!R$34</f>
        <v>#DIV/0!</v>
      </c>
      <c r="S15" s="151" t="e">
        <f>Analysis!T92/'Material Flows'!S$34</f>
        <v>#DIV/0!</v>
      </c>
    </row>
    <row r="16" spans="2:19" ht="24.75" thickBot="1" x14ac:dyDescent="0.3">
      <c r="B16" s="147" t="s">
        <v>168</v>
      </c>
      <c r="C16" s="147"/>
      <c r="D16" s="147" t="s">
        <v>162</v>
      </c>
      <c r="E16" s="151" t="e">
        <f>Analysis!F93/'Material Flows'!E$34</f>
        <v>#DIV/0!</v>
      </c>
      <c r="F16" s="151" t="e">
        <f>Analysis!G93/'Material Flows'!F$34</f>
        <v>#DIV/0!</v>
      </c>
      <c r="G16" s="151" t="e">
        <f>Analysis!H93/'Material Flows'!G$34</f>
        <v>#DIV/0!</v>
      </c>
      <c r="H16" s="151" t="e">
        <f>Analysis!I93/'Material Flows'!H$34</f>
        <v>#DIV/0!</v>
      </c>
      <c r="I16" s="151" t="e">
        <f>Analysis!J93/'Material Flows'!I$34</f>
        <v>#DIV/0!</v>
      </c>
      <c r="J16" s="151" t="e">
        <f>Analysis!K93/'Material Flows'!J$34</f>
        <v>#DIV/0!</v>
      </c>
      <c r="K16" s="151" t="e">
        <f>Analysis!L93/'Material Flows'!K$34</f>
        <v>#DIV/0!</v>
      </c>
      <c r="L16" s="151" t="e">
        <f>Analysis!M93/'Material Flows'!L$34</f>
        <v>#DIV/0!</v>
      </c>
      <c r="M16" s="151" t="e">
        <f>Analysis!N93/'Material Flows'!M$34</f>
        <v>#DIV/0!</v>
      </c>
      <c r="N16" s="151" t="e">
        <f>Analysis!O93/'Material Flows'!N$34</f>
        <v>#DIV/0!</v>
      </c>
      <c r="O16" s="151" t="e">
        <f>Analysis!P93/'Material Flows'!O$34</f>
        <v>#DIV/0!</v>
      </c>
      <c r="P16" s="151" t="e">
        <f>Analysis!Q93/'Material Flows'!P$34</f>
        <v>#DIV/0!</v>
      </c>
      <c r="Q16" s="151" t="e">
        <f>Analysis!R93/'Material Flows'!Q$34</f>
        <v>#DIV/0!</v>
      </c>
      <c r="R16" s="151" t="e">
        <f>Analysis!S93/'Material Flows'!R$34</f>
        <v>#DIV/0!</v>
      </c>
      <c r="S16" s="151" t="e">
        <f>Analysis!T93/'Material Flows'!S$34</f>
        <v>#DIV/0!</v>
      </c>
    </row>
    <row r="17" spans="2:19" ht="24.75" thickBot="1" x14ac:dyDescent="0.3">
      <c r="B17" s="147" t="s">
        <v>169</v>
      </c>
      <c r="C17" s="147"/>
      <c r="D17" s="147" t="s">
        <v>162</v>
      </c>
      <c r="E17" s="151" t="e">
        <f>Analysis!F94/'Material Flows'!E$34</f>
        <v>#DIV/0!</v>
      </c>
      <c r="F17" s="151" t="e">
        <f>Analysis!G94/'Material Flows'!F$34</f>
        <v>#DIV/0!</v>
      </c>
      <c r="G17" s="151" t="e">
        <f>Analysis!H94/'Material Flows'!G$34</f>
        <v>#DIV/0!</v>
      </c>
      <c r="H17" s="151" t="e">
        <f>Analysis!I94/'Material Flows'!H$34</f>
        <v>#DIV/0!</v>
      </c>
      <c r="I17" s="151" t="e">
        <f>Analysis!J94/'Material Flows'!I$34</f>
        <v>#DIV/0!</v>
      </c>
      <c r="J17" s="151" t="e">
        <f>Analysis!K94/'Material Flows'!J$34</f>
        <v>#DIV/0!</v>
      </c>
      <c r="K17" s="151" t="e">
        <f>Analysis!L94/'Material Flows'!K$34</f>
        <v>#DIV/0!</v>
      </c>
      <c r="L17" s="151" t="e">
        <f>Analysis!M94/'Material Flows'!L$34</f>
        <v>#DIV/0!</v>
      </c>
      <c r="M17" s="151" t="e">
        <f>Analysis!N94/'Material Flows'!M$34</f>
        <v>#DIV/0!</v>
      </c>
      <c r="N17" s="151" t="e">
        <f>Analysis!O94/'Material Flows'!N$34</f>
        <v>#DIV/0!</v>
      </c>
      <c r="O17" s="151" t="e">
        <f>Analysis!P94/'Material Flows'!O$34</f>
        <v>#DIV/0!</v>
      </c>
      <c r="P17" s="151" t="e">
        <f>Analysis!Q94/'Material Flows'!P$34</f>
        <v>#DIV/0!</v>
      </c>
      <c r="Q17" s="151" t="e">
        <f>Analysis!R94/'Material Flows'!Q$34</f>
        <v>#DIV/0!</v>
      </c>
      <c r="R17" s="151" t="e">
        <f>Analysis!S94/'Material Flows'!R$34</f>
        <v>#DIV/0!</v>
      </c>
      <c r="S17" s="151" t="e">
        <f>Analysis!T94/'Material Flows'!S$34</f>
        <v>#DIV/0!</v>
      </c>
    </row>
    <row r="19" spans="2:19" ht="24.75" thickBot="1" x14ac:dyDescent="0.3">
      <c r="B19" s="156" t="s">
        <v>178</v>
      </c>
      <c r="C19" s="154"/>
      <c r="D19" s="154"/>
      <c r="E19" s="155" t="str">
        <f>Analysis!D62</f>
        <v>NPV (base rate)</v>
      </c>
      <c r="F19" s="155" t="str">
        <f>Analysis!E62</f>
        <v>NPV (low)</v>
      </c>
      <c r="G19" s="155" t="str">
        <f>Analysis!F62</f>
        <v>NPV (high)</v>
      </c>
    </row>
    <row r="20" spans="2:19" ht="24.75" thickBot="1" x14ac:dyDescent="0.3">
      <c r="B20" s="147" t="str">
        <f>Analysis!B63</f>
        <v>Capital Expenditure Inflated</v>
      </c>
      <c r="C20" s="147" t="s">
        <v>179</v>
      </c>
      <c r="D20" s="147" t="s">
        <v>162</v>
      </c>
      <c r="E20" s="151" t="e">
        <f>Analysis!D63/SUM('Material Flows'!$E$34:$S$34)</f>
        <v>#DIV/0!</v>
      </c>
      <c r="F20" s="151" t="e">
        <f>Analysis!E63/SUM('Material Flows'!$E$34:$S$34)</f>
        <v>#DIV/0!</v>
      </c>
      <c r="G20" s="151" t="e">
        <f>Analysis!F63/SUM('Material Flows'!$E$34:$S$34)</f>
        <v>#DIV/0!</v>
      </c>
    </row>
    <row r="21" spans="2:19" ht="24.75" thickBot="1" x14ac:dyDescent="0.3">
      <c r="B21" s="147" t="str">
        <f>Analysis!B64</f>
        <v>Operating &amp; Maintenance Cost Inflated</v>
      </c>
      <c r="C21" s="147" t="s">
        <v>179</v>
      </c>
      <c r="D21" s="147" t="s">
        <v>162</v>
      </c>
      <c r="E21" s="151" t="e">
        <f>Analysis!D64/SUM('Material Flows'!$E$34:$S$34)</f>
        <v>#DIV/0!</v>
      </c>
      <c r="F21" s="151" t="e">
        <f>Analysis!E64/SUM('Material Flows'!$E$34:$S$34)</f>
        <v>#DIV/0!</v>
      </c>
      <c r="G21" s="151" t="e">
        <f>Analysis!F64/SUM('Material Flows'!$E$34:$S$34)</f>
        <v>#DIV/0!</v>
      </c>
    </row>
    <row r="22" spans="2:19" ht="24.75" thickBot="1" x14ac:dyDescent="0.3">
      <c r="B22" s="147" t="str">
        <f>Analysis!B65</f>
        <v>Annual Revenue Inflated</v>
      </c>
      <c r="C22" s="147" t="s">
        <v>179</v>
      </c>
      <c r="D22" s="147" t="s">
        <v>162</v>
      </c>
      <c r="E22" s="151" t="e">
        <f>Analysis!D65/SUM('Material Flows'!$E$34:$S$34)</f>
        <v>#DIV/0!</v>
      </c>
      <c r="F22" s="151" t="e">
        <f>Analysis!E65/SUM('Material Flows'!$E$34:$S$34)</f>
        <v>#DIV/0!</v>
      </c>
      <c r="G22" s="151" t="e">
        <f>Analysis!F65/SUM('Material Flows'!$E$34:$S$34)</f>
        <v>#DIV/0!</v>
      </c>
    </row>
    <row r="23" spans="2:19" ht="24.75" thickBot="1" x14ac:dyDescent="0.3">
      <c r="B23" s="147" t="str">
        <f>Analysis!B66</f>
        <v>Net Outcome</v>
      </c>
      <c r="C23" s="147" t="s">
        <v>179</v>
      </c>
      <c r="D23" s="147" t="s">
        <v>162</v>
      </c>
      <c r="E23" s="151" t="e">
        <f>Analysis!D66/SUM('Material Flows'!$E$34:$S$34)</f>
        <v>#DIV/0!</v>
      </c>
      <c r="F23" s="151" t="e">
        <f>Analysis!E66/SUM('Material Flows'!$E$34:$S$34)</f>
        <v>#DIV/0!</v>
      </c>
      <c r="G23" s="151" t="e">
        <f>Analysis!F66/SUM('Material Flows'!$E$34:$S$34)</f>
        <v>#DIV/0!</v>
      </c>
    </row>
    <row r="24" spans="2:19" ht="24.75" thickBot="1" x14ac:dyDescent="0.3">
      <c r="B24" s="147" t="str">
        <f>Analysis!B72</f>
        <v>Proponent Net Commercial Gain/Loss</v>
      </c>
      <c r="C24" s="147" t="s">
        <v>179</v>
      </c>
      <c r="D24" s="147" t="s">
        <v>162</v>
      </c>
      <c r="E24" s="151" t="e">
        <f>Analysis!D72/SUM('Material Flows'!$E$34:$S$34)</f>
        <v>#DIV/0!</v>
      </c>
      <c r="F24" s="151" t="e">
        <f>Analysis!E72/SUM('Material Flows'!$E$34:$S$34)</f>
        <v>#DIV/0!</v>
      </c>
      <c r="G24" s="151" t="e">
        <f>Analysis!F72/SUM('Material Flows'!$E$34:$S$34)</f>
        <v>#DIV/0!</v>
      </c>
    </row>
    <row r="25" spans="2:19" ht="24.75" thickBot="1" x14ac:dyDescent="0.3">
      <c r="B25" s="147" t="str">
        <f>Analysis!B67</f>
        <v>Grant Funding</v>
      </c>
      <c r="C25" s="147" t="s">
        <v>179</v>
      </c>
      <c r="D25" s="147" t="s">
        <v>162</v>
      </c>
      <c r="E25" s="151" t="e">
        <f>Analysis!D67/SUM('Material Flows'!$E$34:$S$34)</f>
        <v>#DIV/0!</v>
      </c>
      <c r="F25" s="151" t="e">
        <f>Analysis!E67/SUM('Material Flows'!$E$34:$S$34)</f>
        <v>#DIV/0!</v>
      </c>
      <c r="G25" s="151" t="e">
        <f>Analysis!F67/SUM('Material Flows'!$E$34:$S$34)</f>
        <v>#DIV/0!</v>
      </c>
    </row>
    <row r="26" spans="2:19" ht="24.75" thickBot="1" x14ac:dyDescent="0.3">
      <c r="B26" s="147" t="str">
        <f>Analysis!B68</f>
        <v xml:space="preserve">Net Outcome with Grant </v>
      </c>
      <c r="C26" s="147" t="s">
        <v>179</v>
      </c>
      <c r="D26" s="147" t="s">
        <v>162</v>
      </c>
      <c r="E26" s="151" t="e">
        <f>Analysis!D68/SUM('Material Flows'!$E$34:$S$34)</f>
        <v>#DIV/0!</v>
      </c>
      <c r="F26" s="151" t="e">
        <f>Analysis!E68/SUM('Material Flows'!$E$34:$S$34)</f>
        <v>#DIV/0!</v>
      </c>
      <c r="G26" s="151" t="e">
        <f>Analysis!F68/SUM('Material Flows'!$E$34:$S$34)</f>
        <v>#DIV/0!</v>
      </c>
    </row>
    <row r="27" spans="2:19" ht="24.75" thickBot="1" x14ac:dyDescent="0.3">
      <c r="B27" s="147" t="str">
        <f>Analysis!B69</f>
        <v>Residual Value of Asset</v>
      </c>
      <c r="C27" s="147" t="s">
        <v>179</v>
      </c>
      <c r="D27" s="147" t="s">
        <v>162</v>
      </c>
      <c r="E27" s="151" t="e">
        <f>Analysis!D69/SUM('Material Flows'!$E$34:$S$34)</f>
        <v>#DIV/0!</v>
      </c>
      <c r="F27" s="151" t="e">
        <f>Analysis!E69/SUM('Material Flows'!$E$34:$S$34)</f>
        <v>#DIV/0!</v>
      </c>
      <c r="G27" s="151" t="e">
        <f>Analysis!F69/SUM('Material Flows'!$E$34:$S$34)</f>
        <v>#DIV/0!</v>
      </c>
    </row>
  </sheetData>
  <mergeCells count="1">
    <mergeCell ref="E2:S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7:P28"/>
  <sheetViews>
    <sheetView topLeftCell="A24" workbookViewId="0">
      <selection activeCell="A44" sqref="A44"/>
    </sheetView>
  </sheetViews>
  <sheetFormatPr defaultRowHeight="15" x14ac:dyDescent="0.25"/>
  <cols>
    <col min="1" max="1" width="39.140625" style="146" customWidth="1"/>
    <col min="2" max="2" width="19.42578125" style="146" customWidth="1"/>
    <col min="3" max="16384" width="9.140625" style="146"/>
  </cols>
  <sheetData>
    <row r="7" spans="1:16" x14ac:dyDescent="0.25">
      <c r="A7" s="157"/>
      <c r="B7" s="157">
        <f>'Unit Analysis'!E4</f>
        <v>1900</v>
      </c>
      <c r="C7" s="157">
        <f>'Unit Analysis'!F4</f>
        <v>1901</v>
      </c>
      <c r="D7" s="157">
        <f>'Unit Analysis'!G4</f>
        <v>1902</v>
      </c>
      <c r="E7" s="157">
        <f>'Unit Analysis'!H4</f>
        <v>1903</v>
      </c>
      <c r="F7" s="157">
        <f>'Unit Analysis'!I4</f>
        <v>1904</v>
      </c>
      <c r="G7" s="157">
        <f>'Unit Analysis'!J4</f>
        <v>1905</v>
      </c>
      <c r="H7" s="157">
        <f>'Unit Analysis'!K4</f>
        <v>1906</v>
      </c>
      <c r="I7" s="157">
        <f>'Unit Analysis'!L4</f>
        <v>1907</v>
      </c>
      <c r="J7" s="157">
        <f>'Unit Analysis'!M4</f>
        <v>1908</v>
      </c>
      <c r="K7" s="157">
        <f>'Unit Analysis'!N4</f>
        <v>1909</v>
      </c>
      <c r="L7" s="157">
        <f>'Unit Analysis'!O4</f>
        <v>1910</v>
      </c>
      <c r="M7" s="157">
        <f>'Unit Analysis'!P4</f>
        <v>1911</v>
      </c>
      <c r="N7" s="157">
        <f>'Unit Analysis'!Q4</f>
        <v>1912</v>
      </c>
      <c r="O7" s="157">
        <f>'Unit Analysis'!R4</f>
        <v>1913</v>
      </c>
      <c r="P7" s="157">
        <f>'Unit Analysis'!S4</f>
        <v>1914</v>
      </c>
    </row>
    <row r="8" spans="1:16" ht="24" x14ac:dyDescent="0.25">
      <c r="A8" s="158" t="s">
        <v>167</v>
      </c>
      <c r="B8" s="159" t="e">
        <f>'Unit Analysis'!E11</f>
        <v>#DIV/0!</v>
      </c>
      <c r="C8" s="159" t="e">
        <f>'Unit Analysis'!F11</f>
        <v>#DIV/0!</v>
      </c>
      <c r="D8" s="159" t="e">
        <f>'Unit Analysis'!G11</f>
        <v>#DIV/0!</v>
      </c>
      <c r="E8" s="159" t="e">
        <f>'Unit Analysis'!H11</f>
        <v>#DIV/0!</v>
      </c>
      <c r="F8" s="159" t="e">
        <f>'Unit Analysis'!I11</f>
        <v>#DIV/0!</v>
      </c>
      <c r="G8" s="159" t="e">
        <f>'Unit Analysis'!J11</f>
        <v>#DIV/0!</v>
      </c>
      <c r="H8" s="159" t="e">
        <f>'Unit Analysis'!K11</f>
        <v>#DIV/0!</v>
      </c>
      <c r="I8" s="159" t="e">
        <f>'Unit Analysis'!L11</f>
        <v>#DIV/0!</v>
      </c>
      <c r="J8" s="159" t="e">
        <f>'Unit Analysis'!M11</f>
        <v>#DIV/0!</v>
      </c>
      <c r="K8" s="159" t="e">
        <f>'Unit Analysis'!N11</f>
        <v>#DIV/0!</v>
      </c>
      <c r="L8" s="159" t="e">
        <f>'Unit Analysis'!O11</f>
        <v>#DIV/0!</v>
      </c>
      <c r="M8" s="159" t="e">
        <f>'Unit Analysis'!P11</f>
        <v>#DIV/0!</v>
      </c>
      <c r="N8" s="159" t="e">
        <f>'Unit Analysis'!Q11</f>
        <v>#DIV/0!</v>
      </c>
      <c r="O8" s="159" t="e">
        <f>'Unit Analysis'!R11</f>
        <v>#DIV/0!</v>
      </c>
      <c r="P8" s="159" t="e">
        <f>'Unit Analysis'!S11</f>
        <v>#DIV/0!</v>
      </c>
    </row>
    <row r="9" spans="1:16" ht="24" x14ac:dyDescent="0.25">
      <c r="A9" s="158" t="s">
        <v>168</v>
      </c>
      <c r="B9" s="159" t="e">
        <f>'Unit Analysis'!E12</f>
        <v>#DIV/0!</v>
      </c>
      <c r="C9" s="159" t="e">
        <f>'Unit Analysis'!F12</f>
        <v>#DIV/0!</v>
      </c>
      <c r="D9" s="159" t="e">
        <f>'Unit Analysis'!G12</f>
        <v>#DIV/0!</v>
      </c>
      <c r="E9" s="159" t="e">
        <f>'Unit Analysis'!H12</f>
        <v>#DIV/0!</v>
      </c>
      <c r="F9" s="159" t="e">
        <f>'Unit Analysis'!I12</f>
        <v>#DIV/0!</v>
      </c>
      <c r="G9" s="159" t="e">
        <f>'Unit Analysis'!J12</f>
        <v>#DIV/0!</v>
      </c>
      <c r="H9" s="159" t="e">
        <f>'Unit Analysis'!K12</f>
        <v>#DIV/0!</v>
      </c>
      <c r="I9" s="159" t="e">
        <f>'Unit Analysis'!L12</f>
        <v>#DIV/0!</v>
      </c>
      <c r="J9" s="159" t="e">
        <f>'Unit Analysis'!M12</f>
        <v>#DIV/0!</v>
      </c>
      <c r="K9" s="159" t="e">
        <f>'Unit Analysis'!N12</f>
        <v>#DIV/0!</v>
      </c>
      <c r="L9" s="159" t="e">
        <f>'Unit Analysis'!O12</f>
        <v>#DIV/0!</v>
      </c>
      <c r="M9" s="159" t="e">
        <f>'Unit Analysis'!P12</f>
        <v>#DIV/0!</v>
      </c>
      <c r="N9" s="159" t="e">
        <f>'Unit Analysis'!Q12</f>
        <v>#DIV/0!</v>
      </c>
      <c r="O9" s="159" t="e">
        <f>'Unit Analysis'!R12</f>
        <v>#DIV/0!</v>
      </c>
      <c r="P9" s="159" t="e">
        <f>'Unit Analysis'!S12</f>
        <v>#DIV/0!</v>
      </c>
    </row>
    <row r="10" spans="1:16" ht="24" x14ac:dyDescent="0.25">
      <c r="A10" s="158" t="s">
        <v>169</v>
      </c>
      <c r="B10" s="159" t="e">
        <f>'Unit Analysis'!E13</f>
        <v>#DIV/0!</v>
      </c>
      <c r="C10" s="159" t="e">
        <f>'Unit Analysis'!F13</f>
        <v>#DIV/0!</v>
      </c>
      <c r="D10" s="159" t="e">
        <f>'Unit Analysis'!G13</f>
        <v>#DIV/0!</v>
      </c>
      <c r="E10" s="159" t="e">
        <f>'Unit Analysis'!H13</f>
        <v>#DIV/0!</v>
      </c>
      <c r="F10" s="159" t="e">
        <f>'Unit Analysis'!I13</f>
        <v>#DIV/0!</v>
      </c>
      <c r="G10" s="159" t="e">
        <f>'Unit Analysis'!J13</f>
        <v>#DIV/0!</v>
      </c>
      <c r="H10" s="159" t="e">
        <f>'Unit Analysis'!K13</f>
        <v>#DIV/0!</v>
      </c>
      <c r="I10" s="159" t="e">
        <f>'Unit Analysis'!L13</f>
        <v>#DIV/0!</v>
      </c>
      <c r="J10" s="159" t="e">
        <f>'Unit Analysis'!M13</f>
        <v>#DIV/0!</v>
      </c>
      <c r="K10" s="159" t="e">
        <f>'Unit Analysis'!N13</f>
        <v>#DIV/0!</v>
      </c>
      <c r="L10" s="159" t="e">
        <f>'Unit Analysis'!O13</f>
        <v>#DIV/0!</v>
      </c>
      <c r="M10" s="159" t="e">
        <f>'Unit Analysis'!P13</f>
        <v>#DIV/0!</v>
      </c>
      <c r="N10" s="159" t="e">
        <f>'Unit Analysis'!Q13</f>
        <v>#DIV/0!</v>
      </c>
      <c r="O10" s="159" t="e">
        <f>'Unit Analysis'!R13</f>
        <v>#DIV/0!</v>
      </c>
      <c r="P10" s="159" t="e">
        <f>'Unit Analysis'!S13</f>
        <v>#DIV/0!</v>
      </c>
    </row>
    <row r="12" spans="1:16" x14ac:dyDescent="0.25">
      <c r="A12" s="160" t="str">
        <f>'Unit Analysis'!B14</f>
        <v>Grant Funding Only</v>
      </c>
    </row>
    <row r="13" spans="1:16" x14ac:dyDescent="0.25">
      <c r="A13" s="157"/>
      <c r="B13" s="157">
        <f t="shared" ref="B13:P13" si="0">B7</f>
        <v>1900</v>
      </c>
      <c r="C13" s="157">
        <f t="shared" si="0"/>
        <v>1901</v>
      </c>
      <c r="D13" s="157">
        <f t="shared" si="0"/>
        <v>1902</v>
      </c>
      <c r="E13" s="157">
        <f t="shared" si="0"/>
        <v>1903</v>
      </c>
      <c r="F13" s="157">
        <f t="shared" si="0"/>
        <v>1904</v>
      </c>
      <c r="G13" s="157">
        <f t="shared" si="0"/>
        <v>1905</v>
      </c>
      <c r="H13" s="157">
        <f t="shared" si="0"/>
        <v>1906</v>
      </c>
      <c r="I13" s="157">
        <f t="shared" si="0"/>
        <v>1907</v>
      </c>
      <c r="J13" s="157">
        <f t="shared" si="0"/>
        <v>1908</v>
      </c>
      <c r="K13" s="157">
        <f t="shared" si="0"/>
        <v>1909</v>
      </c>
      <c r="L13" s="157">
        <f t="shared" si="0"/>
        <v>1910</v>
      </c>
      <c r="M13" s="157">
        <f t="shared" si="0"/>
        <v>1911</v>
      </c>
      <c r="N13" s="157">
        <f t="shared" si="0"/>
        <v>1912</v>
      </c>
      <c r="O13" s="157">
        <f t="shared" si="0"/>
        <v>1913</v>
      </c>
      <c r="P13" s="157">
        <f t="shared" si="0"/>
        <v>1914</v>
      </c>
    </row>
    <row r="14" spans="1:16" ht="24" x14ac:dyDescent="0.25">
      <c r="A14" s="158" t="s">
        <v>167</v>
      </c>
      <c r="B14" s="159" t="e">
        <f>'Unit Analysis'!E15</f>
        <v>#DIV/0!</v>
      </c>
      <c r="C14" s="159" t="e">
        <f>'Unit Analysis'!F15</f>
        <v>#DIV/0!</v>
      </c>
      <c r="D14" s="159" t="e">
        <f>'Unit Analysis'!G15</f>
        <v>#DIV/0!</v>
      </c>
      <c r="E14" s="159" t="e">
        <f>'Unit Analysis'!H15</f>
        <v>#DIV/0!</v>
      </c>
      <c r="F14" s="159" t="e">
        <f>'Unit Analysis'!I15</f>
        <v>#DIV/0!</v>
      </c>
      <c r="G14" s="159" t="e">
        <f>'Unit Analysis'!J15</f>
        <v>#DIV/0!</v>
      </c>
      <c r="H14" s="159" t="e">
        <f>'Unit Analysis'!K15</f>
        <v>#DIV/0!</v>
      </c>
      <c r="I14" s="159" t="e">
        <f>'Unit Analysis'!L15</f>
        <v>#DIV/0!</v>
      </c>
      <c r="J14" s="159" t="e">
        <f>'Unit Analysis'!M15</f>
        <v>#DIV/0!</v>
      </c>
      <c r="K14" s="159" t="e">
        <f>'Unit Analysis'!N15</f>
        <v>#DIV/0!</v>
      </c>
      <c r="L14" s="159" t="e">
        <f>'Unit Analysis'!O15</f>
        <v>#DIV/0!</v>
      </c>
      <c r="M14" s="159" t="e">
        <f>'Unit Analysis'!P15</f>
        <v>#DIV/0!</v>
      </c>
      <c r="N14" s="159" t="e">
        <f>'Unit Analysis'!Q15</f>
        <v>#DIV/0!</v>
      </c>
      <c r="O14" s="159" t="e">
        <f>'Unit Analysis'!R15</f>
        <v>#DIV/0!</v>
      </c>
      <c r="P14" s="159" t="e">
        <f>'Unit Analysis'!S15</f>
        <v>#DIV/0!</v>
      </c>
    </row>
    <row r="15" spans="1:16" ht="24" x14ac:dyDescent="0.25">
      <c r="A15" s="158" t="s">
        <v>168</v>
      </c>
      <c r="B15" s="159" t="e">
        <f>'Unit Analysis'!E16</f>
        <v>#DIV/0!</v>
      </c>
      <c r="C15" s="159" t="e">
        <f>'Unit Analysis'!F16</f>
        <v>#DIV/0!</v>
      </c>
      <c r="D15" s="159" t="e">
        <f>'Unit Analysis'!G16</f>
        <v>#DIV/0!</v>
      </c>
      <c r="E15" s="159" t="e">
        <f>'Unit Analysis'!H16</f>
        <v>#DIV/0!</v>
      </c>
      <c r="F15" s="159" t="e">
        <f>'Unit Analysis'!I16</f>
        <v>#DIV/0!</v>
      </c>
      <c r="G15" s="159" t="e">
        <f>'Unit Analysis'!J16</f>
        <v>#DIV/0!</v>
      </c>
      <c r="H15" s="159" t="e">
        <f>'Unit Analysis'!K16</f>
        <v>#DIV/0!</v>
      </c>
      <c r="I15" s="159" t="e">
        <f>'Unit Analysis'!L16</f>
        <v>#DIV/0!</v>
      </c>
      <c r="J15" s="159" t="e">
        <f>'Unit Analysis'!M16</f>
        <v>#DIV/0!</v>
      </c>
      <c r="K15" s="159" t="e">
        <f>'Unit Analysis'!N16</f>
        <v>#DIV/0!</v>
      </c>
      <c r="L15" s="159" t="e">
        <f>'Unit Analysis'!O16</f>
        <v>#DIV/0!</v>
      </c>
      <c r="M15" s="159" t="e">
        <f>'Unit Analysis'!P16</f>
        <v>#DIV/0!</v>
      </c>
      <c r="N15" s="159" t="e">
        <f>'Unit Analysis'!Q16</f>
        <v>#DIV/0!</v>
      </c>
      <c r="O15" s="159" t="e">
        <f>'Unit Analysis'!R16</f>
        <v>#DIV/0!</v>
      </c>
      <c r="P15" s="159" t="e">
        <f>'Unit Analysis'!S16</f>
        <v>#DIV/0!</v>
      </c>
    </row>
    <row r="16" spans="1:16" ht="24" x14ac:dyDescent="0.25">
      <c r="A16" s="158" t="s">
        <v>169</v>
      </c>
      <c r="B16" s="159" t="e">
        <f>'Unit Analysis'!E17</f>
        <v>#DIV/0!</v>
      </c>
      <c r="C16" s="159" t="e">
        <f>'Unit Analysis'!F17</f>
        <v>#DIV/0!</v>
      </c>
      <c r="D16" s="159" t="e">
        <f>'Unit Analysis'!G17</f>
        <v>#DIV/0!</v>
      </c>
      <c r="E16" s="159" t="e">
        <f>'Unit Analysis'!H17</f>
        <v>#DIV/0!</v>
      </c>
      <c r="F16" s="159" t="e">
        <f>'Unit Analysis'!I17</f>
        <v>#DIV/0!</v>
      </c>
      <c r="G16" s="159" t="e">
        <f>'Unit Analysis'!J17</f>
        <v>#DIV/0!</v>
      </c>
      <c r="H16" s="159" t="e">
        <f>'Unit Analysis'!K17</f>
        <v>#DIV/0!</v>
      </c>
      <c r="I16" s="159" t="e">
        <f>'Unit Analysis'!L17</f>
        <v>#DIV/0!</v>
      </c>
      <c r="J16" s="159" t="e">
        <f>'Unit Analysis'!M17</f>
        <v>#DIV/0!</v>
      </c>
      <c r="K16" s="159" t="e">
        <f>'Unit Analysis'!N17</f>
        <v>#DIV/0!</v>
      </c>
      <c r="L16" s="159" t="e">
        <f>'Unit Analysis'!O17</f>
        <v>#DIV/0!</v>
      </c>
      <c r="M16" s="159" t="e">
        <f>'Unit Analysis'!P17</f>
        <v>#DIV/0!</v>
      </c>
      <c r="N16" s="159" t="e">
        <f>'Unit Analysis'!Q17</f>
        <v>#DIV/0!</v>
      </c>
      <c r="O16" s="159" t="e">
        <f>'Unit Analysis'!R17</f>
        <v>#DIV/0!</v>
      </c>
      <c r="P16" s="159" t="e">
        <f>'Unit Analysis'!S17</f>
        <v>#DIV/0!</v>
      </c>
    </row>
    <row r="17" spans="1:16" x14ac:dyDescent="0.25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5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24" x14ac:dyDescent="0.25">
      <c r="A19" s="156" t="s">
        <v>178</v>
      </c>
      <c r="B19" s="147" t="s">
        <v>179</v>
      </c>
    </row>
    <row r="20" spans="1:16" ht="24.75" thickBot="1" x14ac:dyDescent="0.3">
      <c r="B20" s="155" t="s">
        <v>126</v>
      </c>
      <c r="C20" s="155" t="s">
        <v>127</v>
      </c>
      <c r="D20" s="155" t="s">
        <v>128</v>
      </c>
    </row>
    <row r="21" spans="1:16" ht="15.75" thickBot="1" x14ac:dyDescent="0.3">
      <c r="A21" s="147" t="s">
        <v>9</v>
      </c>
      <c r="B21" s="151" t="e">
        <f>'Unit Analysis'!E20</f>
        <v>#DIV/0!</v>
      </c>
      <c r="C21" s="151" t="e">
        <f>'Unit Analysis'!F20</f>
        <v>#DIV/0!</v>
      </c>
      <c r="D21" s="151" t="e">
        <f>'Unit Analysis'!G20</f>
        <v>#DIV/0!</v>
      </c>
    </row>
    <row r="22" spans="1:16" ht="15.75" thickBot="1" x14ac:dyDescent="0.3">
      <c r="A22" s="147" t="s">
        <v>10</v>
      </c>
      <c r="B22" s="151" t="e">
        <f>'Unit Analysis'!E21</f>
        <v>#DIV/0!</v>
      </c>
      <c r="C22" s="151" t="e">
        <f>'Unit Analysis'!F21</f>
        <v>#DIV/0!</v>
      </c>
      <c r="D22" s="151" t="e">
        <f>'Unit Analysis'!G21</f>
        <v>#DIV/0!</v>
      </c>
    </row>
    <row r="23" spans="1:16" ht="15.75" thickBot="1" x14ac:dyDescent="0.3">
      <c r="A23" s="147" t="s">
        <v>11</v>
      </c>
      <c r="B23" s="151" t="e">
        <f>'Unit Analysis'!E22</f>
        <v>#DIV/0!</v>
      </c>
      <c r="C23" s="151" t="e">
        <f>'Unit Analysis'!F22</f>
        <v>#DIV/0!</v>
      </c>
      <c r="D23" s="151" t="e">
        <f>'Unit Analysis'!G22</f>
        <v>#DIV/0!</v>
      </c>
    </row>
    <row r="24" spans="1:16" ht="15.75" thickBot="1" x14ac:dyDescent="0.3">
      <c r="A24" s="147" t="s">
        <v>12</v>
      </c>
      <c r="B24" s="151" t="e">
        <f>'Unit Analysis'!E23</f>
        <v>#DIV/0!</v>
      </c>
      <c r="C24" s="151" t="e">
        <f>'Unit Analysis'!F23</f>
        <v>#DIV/0!</v>
      </c>
      <c r="D24" s="151" t="e">
        <f>'Unit Analysis'!G23</f>
        <v>#DIV/0!</v>
      </c>
    </row>
    <row r="25" spans="1:16" ht="15.75" thickBot="1" x14ac:dyDescent="0.3">
      <c r="A25" s="147" t="s">
        <v>157</v>
      </c>
      <c r="B25" s="151" t="e">
        <f>'Unit Analysis'!E24</f>
        <v>#DIV/0!</v>
      </c>
      <c r="C25" s="151" t="e">
        <f>'Unit Analysis'!F24</f>
        <v>#DIV/0!</v>
      </c>
      <c r="D25" s="151" t="e">
        <f>'Unit Analysis'!G24</f>
        <v>#DIV/0!</v>
      </c>
    </row>
    <row r="26" spans="1:16" ht="15.75" thickBot="1" x14ac:dyDescent="0.3">
      <c r="A26" s="147" t="s">
        <v>153</v>
      </c>
      <c r="B26" s="151" t="e">
        <f>'Unit Analysis'!E25</f>
        <v>#DIV/0!</v>
      </c>
      <c r="C26" s="151" t="e">
        <f>'Unit Analysis'!F25</f>
        <v>#DIV/0!</v>
      </c>
      <c r="D26" s="151" t="e">
        <f>'Unit Analysis'!G25</f>
        <v>#DIV/0!</v>
      </c>
    </row>
    <row r="27" spans="1:16" ht="15.75" thickBot="1" x14ac:dyDescent="0.3">
      <c r="A27" s="147" t="s">
        <v>142</v>
      </c>
      <c r="B27" s="151" t="e">
        <f>'Unit Analysis'!E26</f>
        <v>#DIV/0!</v>
      </c>
      <c r="C27" s="151" t="e">
        <f>'Unit Analysis'!F26</f>
        <v>#DIV/0!</v>
      </c>
      <c r="D27" s="151" t="e">
        <f>'Unit Analysis'!G26</f>
        <v>#DIV/0!</v>
      </c>
    </row>
    <row r="28" spans="1:16" ht="15.75" thickBot="1" x14ac:dyDescent="0.3">
      <c r="A28" s="147" t="s">
        <v>150</v>
      </c>
      <c r="B28" s="151" t="e">
        <f>'Unit Analysis'!E27</f>
        <v>#DIV/0!</v>
      </c>
      <c r="C28" s="151" t="e">
        <f>'Unit Analysis'!F27</f>
        <v>#DIV/0!</v>
      </c>
      <c r="D28" s="151" t="e">
        <f>'Unit Analysis'!G27</f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Project Details</vt:lpstr>
      <vt:lpstr>Material Flows</vt:lpstr>
      <vt:lpstr>Capital Cost Breakdown</vt:lpstr>
      <vt:lpstr>New Employment </vt:lpstr>
      <vt:lpstr>Financial Inputs</vt:lpstr>
      <vt:lpstr>analysis_period</vt:lpstr>
      <vt:lpstr>Asset_life</vt:lpstr>
      <vt:lpstr>Construction_startdate</vt:lpstr>
      <vt:lpstr>discountrate</vt:lpstr>
      <vt:lpstr>discountrate_high</vt:lpstr>
      <vt:lpstr>discountrate_low</vt:lpstr>
      <vt:lpstr>Inflation_rate</vt:lpstr>
      <vt:lpstr>Operations_startdate</vt:lpstr>
      <vt:lpstr>Analysis!Print_Area</vt:lpstr>
      <vt:lpstr>'New Employment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Schliebs</dc:creator>
  <cp:lastModifiedBy>Vina Varsani</cp:lastModifiedBy>
  <dcterms:created xsi:type="dcterms:W3CDTF">2018-07-27T01:26:09Z</dcterms:created>
  <dcterms:modified xsi:type="dcterms:W3CDTF">2019-11-06T03:20:27Z</dcterms:modified>
</cp:coreProperties>
</file>